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3.xml.rels" ContentType="application/vnd.openxmlformats-package.relationships+xml"/>
  <Override PartName="/xl/worksheets/_rels/sheet5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49.xml.rels" ContentType="application/vnd.openxmlformats-package.relationships+xml"/>
  <Override PartName="/xl/worksheets/_rels/sheet47.xml.rels" ContentType="application/vnd.openxmlformats-package.relationships+xml"/>
  <Override PartName="/xl/worksheets/_rels/sheet35.xml.rels" ContentType="application/vnd.openxmlformats-package.relationships+xml"/>
  <Override PartName="/xl/worksheets/_rels/sheet48.xml.rels" ContentType="application/vnd.openxmlformats-package.relationships+xml"/>
  <Override PartName="/xl/worksheets/_rels/sheet36.xml.rels" ContentType="application/vnd.openxmlformats-package.relationships+xml"/>
  <Override PartName="/xl/worksheets/sheet56.xml" ContentType="application/vnd.openxmlformats-officedocument.spreadsheetml.worksheet+xml"/>
  <Override PartName="/xl/worksheets/sheet55.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51.xml" ContentType="application/vnd.openxmlformats-officedocument.spreadsheetml.worksheet+xml"/>
  <Override PartName="/xl/worksheets/sheet50.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42.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worksheets/sheet37.xml" ContentType="application/vnd.openxmlformats-officedocument.spreadsheetml.worksheet+xml"/>
  <Override PartName="/xl/worksheets/sheet36.xml" ContentType="application/vnd.openxmlformats-officedocument.spreadsheetml.worksheet+xml"/>
  <Override PartName="/xl/worksheets/sheet35.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48.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21.xml" ContentType="application/vnd.openxmlformats-officedocument.spreadsheetml.worksheet+xml"/>
  <Override PartName="/xl/worksheets/sheet47.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20.xml" ContentType="application/vnd.openxmlformats-officedocument.spreadsheetml.worksheet+xml"/>
  <Override PartName="/xl/worksheets/sheet60.xml" ContentType="application/vnd.openxmlformats-officedocument.spreadsheetml.worksheet+xml"/>
  <Override PartName="/xl/worksheets/sheet1.xml" ContentType="application/vnd.openxmlformats-officedocument.spreadsheetml.worksheet+xml"/>
  <Override PartName="/xl/worksheets/sheet61.xml" ContentType="application/vnd.openxmlformats-officedocument.spreadsheetml.worksheet+xml"/>
  <Override PartName="/xl/worksheets/sheet2.xml" ContentType="application/vnd.openxmlformats-officedocument.spreadsheetml.worksheet+xml"/>
  <Override PartName="/xl/worksheets/sheet62.xml" ContentType="application/vnd.openxmlformats-officedocument.spreadsheetml.worksheet+xml"/>
  <Override PartName="/xl/worksheets/sheet3.xml" ContentType="application/vnd.openxmlformats-officedocument.spreadsheetml.worksheet+xml"/>
  <Override PartName="/xl/worksheets/sheet26.xml" ContentType="application/vnd.openxmlformats-officedocument.spreadsheetml.worksheet+xml"/>
  <Override PartName="/xl/worksheets/sheet63.xml" ContentType="application/vnd.openxmlformats-officedocument.spreadsheetml.worksheet+xml"/>
  <Override PartName="/xl/worksheets/sheet4.xml" ContentType="application/vnd.openxmlformats-officedocument.spreadsheetml.worksheet+xml"/>
  <Override PartName="/xl/worksheets/sheet27.xml" ContentType="application/vnd.openxmlformats-officedocument.spreadsheetml.worksheet+xml"/>
  <Override PartName="/xl/worksheets/sheet64.xml" ContentType="application/vnd.openxmlformats-officedocument.spreadsheetml.worksheet+xml"/>
  <Override PartName="/xl/worksheets/sheet28.xml" ContentType="application/vnd.openxmlformats-officedocument.spreadsheetml.worksheet+xml"/>
  <Override PartName="/xl/worksheets/sheet70.xml" ContentType="application/vnd.openxmlformats-officedocument.spreadsheetml.worksheet+xml"/>
  <Override PartName="/xl/worksheets/sheet65.xml" ContentType="application/vnd.openxmlformats-officedocument.spreadsheetml.worksheet+xml"/>
  <Override PartName="/xl/worksheets/sheet29.xml" ContentType="application/vnd.openxmlformats-officedocument.spreadsheetml.worksheet+xml"/>
  <Override PartName="/xl/worksheets/sheet71.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30.xml" ContentType="application/vnd.openxmlformats-officedocument.spreadsheetml.worksheet+xml"/>
  <Override PartName="/xl/worksheets/sheet68.xml" ContentType="application/vnd.openxmlformats-officedocument.spreadsheetml.worksheet+xml"/>
  <Override PartName="/xl/worksheets/sheet31.xml" ContentType="application/vnd.openxmlformats-officedocument.spreadsheetml.worksheet+xml"/>
  <Override PartName="/xl/worksheets/sheet69.xml" ContentType="application/vnd.openxmlformats-officedocument.spreadsheetml.worksheet+xml"/>
  <Override PartName="/xl/worksheets/sheet89.xml" ContentType="application/vnd.openxmlformats-officedocument.spreadsheetml.worksheet+xml"/>
  <Override PartName="/xl/worksheets/sheet77.xml" ContentType="application/vnd.openxmlformats-officedocument.spreadsheetml.worksheet+xml"/>
  <Override PartName="/xl/worksheets/sheet88.xml" ContentType="application/vnd.openxmlformats-officedocument.spreadsheetml.worksheet+xml"/>
  <Override PartName="/xl/worksheets/sheet76.xml" ContentType="application/vnd.openxmlformats-officedocument.spreadsheetml.worksheet+xml"/>
  <Override PartName="/xl/worksheets/sheet87.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74.xml" ContentType="application/vnd.openxmlformats-officedocument.spreadsheetml.worksheet+xml"/>
  <Override PartName="/xl/worksheets/sheet85.xml" ContentType="application/vnd.openxmlformats-officedocument.spreadsheetml.worksheet+xml"/>
  <Override PartName="/xl/worksheets/sheet73.xml" ContentType="application/vnd.openxmlformats-officedocument.spreadsheetml.worksheet+xml"/>
  <Override PartName="/xl/worksheets/sheet79.xml" ContentType="application/vnd.openxmlformats-officedocument.spreadsheetml.worksheet+xml"/>
  <Override PartName="/xl/worksheets/sheet78.xml" ContentType="application/vnd.openxmlformats-officedocument.spreadsheetml.worksheet+xml"/>
  <Override PartName="/xl/worksheets/sheet72.xml" ContentType="application/vnd.openxmlformats-officedocument.spreadsheetml.worksheet+xml"/>
  <Override PartName="/xl/worksheets/sheet25.xml" ContentType="application/vnd.openxmlformats-officedocument.spreadsheetml.worksheet+xml"/>
  <Override PartName="/xl/worksheets/sheet59.xml" ContentType="application/vnd.openxmlformats-officedocument.spreadsheetml.worksheet+xml"/>
  <Override PartName="/xl/worksheets/sheet7.xml" ContentType="application/vnd.openxmlformats-officedocument.spreadsheetml.worksheet+xml"/>
  <Override PartName="/xl/worksheets/sheet22.xml" ContentType="application/vnd.openxmlformats-officedocument.spreadsheetml.worksheet+xml"/>
  <Override PartName="/xl/worksheets/sheet58.xml" ContentType="application/vnd.openxmlformats-officedocument.spreadsheetml.worksheet+xml"/>
  <Override PartName="/xl/worksheets/sheet19.xml" ContentType="application/vnd.openxmlformats-officedocument.spreadsheetml.worksheet+xml"/>
  <Override PartName="/xl/worksheets/sheet84.xml" ContentType="application/vnd.openxmlformats-officedocument.spreadsheetml.worksheet+xml"/>
  <Override PartName="/xl/worksheets/sheet57.xml" ContentType="application/vnd.openxmlformats-officedocument.spreadsheetml.worksheet+xml"/>
  <Override PartName="/xl/worksheets/sheet18.xml" ContentType="application/vnd.openxmlformats-officedocument.spreadsheetml.worksheet+xml"/>
  <Override PartName="/xl/worksheets/sheet83.xml" ContentType="application/vnd.openxmlformats-officedocument.spreadsheetml.worksheet+xml"/>
  <Override PartName="/xl/worksheets/sheet82.xml" ContentType="application/vnd.openxmlformats-officedocument.spreadsheetml.worksheet+xml"/>
  <Override PartName="/xl/worksheets/sheet17.xml" ContentType="application/vnd.openxmlformats-officedocument.spreadsheetml.worksheet+xml"/>
  <Override PartName="/xl/worksheets/sheet81.xml" ContentType="application/vnd.openxmlformats-officedocument.spreadsheetml.worksheet+xml"/>
  <Override PartName="/xl/worksheets/sheet16.xml" ContentType="application/vnd.openxmlformats-officedocument.spreadsheetml.worksheet+xml"/>
  <Override PartName="/xl/worksheets/sheet80.xml" ContentType="application/vnd.openxmlformats-officedocument.spreadsheetml.worksheet+xml"/>
  <Override PartName="/xl/worksheets/sheet15.xml" ContentType="application/vnd.openxmlformats-officedocument.spreadsheetml.worksheet+xml"/>
  <Override PartName="/xl/worksheets/sheet12.xml" ContentType="application/vnd.openxmlformats-officedocument.spreadsheetml.worksheet+xml"/>
  <Override PartName="/xl/worksheets/sheet49.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23.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_rels/drawing8.xml.rels" ContentType="application/vnd.openxmlformats-package.relationships+xml"/>
  <Override PartName="/xl/drawings/_rels/drawing7.xml.rels" ContentType="application/vnd.openxmlformats-package.relationships+xml"/>
  <Override PartName="/xl/drawings/_rels/drawing6.xml.rels" ContentType="application/vnd.openxmlformats-package.relationships+xml"/>
  <Override PartName="/xl/drawings/_rels/drawing5.xml.rels" ContentType="application/vnd.openxmlformats-package.relationships+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vmlDrawing2.vml" ContentType="application/vnd.openxmlformats-officedocument.vmlDrawing"/>
  <Override PartName="/xl/_rels/workbook.xml.rels" ContentType="application/vnd.openxmlformats-package.relationships+xml"/>
  <Override PartName="/xl/media/image1.jpeg" ContentType="image/jpeg"/>
  <Override PartName="/xl/media/image6.png" ContentType="image/png"/>
  <Override PartName="/xl/media/image2.png" ContentType="image/png"/>
  <Override PartName="/xl/media/image3.png" ContentType="image/png"/>
  <Override PartName="/xl/media/image4.png" ContentType="image/png"/>
  <Override PartName="/xl/media/image5.png" ContentType="image/png"/>
  <Override PartName="/xl/media/image7.png" ContentType="image/png"/>
  <Override PartName="/xl/media/image8.png" ContentType="image/png"/>
  <Override PartName="/xl/comments51.xml" ContentType="application/vnd.openxmlformats-officedocument.spreadsheetml.comments+xml"/>
  <Override PartName="/xl/comments63.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Инструкция" sheetId="1" state="visible" r:id="rId3"/>
    <sheet name="Титульный" sheetId="2" state="visible" r:id="rId4"/>
    <sheet name="Список территорий" sheetId="3" state="visible" r:id="rId5"/>
    <sheet name="Дифференциация" sheetId="4" state="visible" r:id="rId6"/>
    <sheet name="Перечень тарифов" sheetId="5" state="hidden" r:id="rId7"/>
    <sheet name="Дифференциация тариф показатель" sheetId="6" state="hidden" r:id="rId8"/>
    <sheet name="Общая информация об организации" sheetId="7" state="hidden" r:id="rId9"/>
    <sheet name="Общая информация по ВД" sheetId="8" state="hidden" r:id="rId10"/>
    <sheet name="Виды объектов" sheetId="9" state="hidden" r:id="rId11"/>
    <sheet name="Сведения по территориям" sheetId="10" state="hidden" r:id="rId12"/>
    <sheet name="ТС. Т-ТЭ | &gt;=25МВт" sheetId="11" state="hidden" r:id="rId13"/>
    <sheet name="ТС. Т-ТЭ | ТСО" sheetId="12" state="hidden" r:id="rId14"/>
    <sheet name="ТС. Т-ТЭ | предел" sheetId="13" state="hidden" r:id="rId15"/>
    <sheet name="ТС. Т-ТЭ | индикат" sheetId="14" state="hidden" r:id="rId16"/>
    <sheet name="ТС. Резерв мощности" sheetId="15" state="hidden" r:id="rId17"/>
    <sheet name="ТС. Т-ТН" sheetId="16" state="hidden" r:id="rId18"/>
    <sheet name="ТС. Т-передача ТЭ" sheetId="17" state="hidden" r:id="rId19"/>
    <sheet name="ТС. Т-передача ТН" sheetId="18" state="hidden" r:id="rId20"/>
    <sheet name="ТС. Т-гор.вода" sheetId="19" state="hidden" r:id="rId21"/>
    <sheet name="ТС. Т-подкл" sheetId="20" state="hidden" r:id="rId22"/>
    <sheet name="ХВС. Т-пит" sheetId="21" state="hidden" r:id="rId23"/>
    <sheet name="ХВС. Т-тех" sheetId="22" state="hidden" r:id="rId24"/>
    <sheet name="ХВС. Т-транс" sheetId="23" state="hidden" r:id="rId25"/>
    <sheet name="ХВС. Т-подвоз" sheetId="24" state="hidden" r:id="rId26"/>
    <sheet name="ТС. Т-подкл(инд)" sheetId="25" state="hidden" r:id="rId27"/>
    <sheet name="ХВС. Т-подкл" sheetId="26" state="hidden" r:id="rId28"/>
    <sheet name="ВО. Т-во" sheetId="27" state="hidden" r:id="rId29"/>
    <sheet name="ВО. Т-транс" sheetId="28" state="hidden" r:id="rId30"/>
    <sheet name="ВО. Т-подкл" sheetId="29" state="hidden" r:id="rId31"/>
    <sheet name="ГВС. Т-гор.вода" sheetId="30" state="hidden" r:id="rId32"/>
    <sheet name="ГВС. Т-транс" sheetId="31" state="hidden" r:id="rId33"/>
    <sheet name="ГВС. Т-подкл" sheetId="32" state="hidden" r:id="rId34"/>
    <sheet name="Показатели ФХД" sheetId="33" state="hidden" r:id="rId35"/>
    <sheet name="Показатели ФХД &gt;20%" sheetId="34" state="hidden" r:id="rId36"/>
    <sheet name="Показатели ОТЭП" sheetId="35" state="hidden" r:id="rId37"/>
    <sheet name="Стандарты качества" sheetId="36" state="hidden" r:id="rId38"/>
    <sheet name="ТКО. Показатели ФХД" sheetId="37" state="hidden" r:id="rId39"/>
    <sheet name="ТКО. Транс. Показатели ФХД" sheetId="38" state="hidden" r:id="rId40"/>
    <sheet name="Показатели КНЭ" sheetId="39" state="hidden" r:id="rId41"/>
    <sheet name="Ограничения" sheetId="40" state="hidden" r:id="rId42"/>
    <sheet name="ИП" sheetId="41" state="hidden" r:id="rId43"/>
    <sheet name="ИП. Детализация" sheetId="42" state="hidden" r:id="rId44"/>
    <sheet name="ИП. Финансовый план" sheetId="43" state="hidden" r:id="rId45"/>
    <sheet name="ИП. КНЭ" sheetId="44" state="hidden" r:id="rId46"/>
    <sheet name="ТП" sheetId="45" state="visible" r:id="rId47"/>
    <sheet name="Договоры" sheetId="46" state="hidden" r:id="rId48"/>
    <sheet name="Порядок ТП" sheetId="47" state="hidden" r:id="rId49"/>
    <sheet name="Предложение" sheetId="48" state="hidden" r:id="rId50"/>
    <sheet name="Сведения о закупках" sheetId="49" state="hidden" r:id="rId51"/>
    <sheet name="Потребительские характеристики" sheetId="50" state="hidden" r:id="rId52"/>
    <sheet name="TEHSHEET" sheetId="51" state="hidden" r:id="rId53"/>
    <sheet name="Орган регулирования" sheetId="52" state="hidden" r:id="rId54"/>
    <sheet name="Перечень организаций" sheetId="53" state="hidden" r:id="rId55"/>
    <sheet name="Дела об установлении тарифов" sheetId="54" state="hidden" r:id="rId56"/>
    <sheet name="Дела об утверждении ПУЦ" sheetId="55" state="hidden" r:id="rId57"/>
    <sheet name="Привлечение к ответственности" sheetId="56" state="hidden" r:id="rId58"/>
    <sheet name="ЭД" sheetId="57" state="hidden" r:id="rId59"/>
    <sheet name="Сведения об изменении" sheetId="58" state="hidden" r:id="rId60"/>
    <sheet name="Комментарии" sheetId="59" state="visible" r:id="rId61"/>
    <sheet name="Проверка" sheetId="60" state="hidden" r:id="rId62"/>
    <sheet name="et_union_hor" sheetId="61" state="hidden" r:id="rId63"/>
    <sheet name="DATA_FORMS" sheetId="62" state="hidden" r:id="rId64"/>
    <sheet name="DATA_NPA" sheetId="63" state="hidden" r:id="rId65"/>
    <sheet name="Т-ТЭ | потр" sheetId="64" state="hidden" r:id="rId66"/>
    <sheet name="modMainProcedures" sheetId="65" state="hidden" r:id="rId67"/>
    <sheet name="modB_FHD" sheetId="66" state="hidden" r:id="rId68"/>
    <sheet name="modB_FHD20" sheetId="67" state="hidden" r:id="rId69"/>
    <sheet name="modB_KNE" sheetId="68" state="hidden" r:id="rId70"/>
    <sheet name="modIP_MAIN" sheetId="69" state="hidden" r:id="rId71"/>
    <sheet name="modIP_QRE" sheetId="70" state="hidden" r:id="rId72"/>
    <sheet name="modIP_DETAILED" sheetId="71" state="hidden" r:id="rId73"/>
    <sheet name="et_union_vert" sheetId="72" state="hidden" r:id="rId74"/>
    <sheet name="Легенда" sheetId="73" state="hidden" r:id="rId75"/>
    <sheet name="modfrmListIP" sheetId="74" state="hidden" r:id="rId76"/>
    <sheet name="modfrmActivity" sheetId="75" state="hidden" r:id="rId77"/>
    <sheet name="REESTR_ORG" sheetId="76" state="hidden" r:id="rId78"/>
    <sheet name="REESTR_MO" sheetId="77" state="hidden" r:id="rId79"/>
    <sheet name="REESTR_IP" sheetId="78" state="hidden" r:id="rId80"/>
    <sheet name="REESTR_OBJ_INFR" sheetId="79" state="hidden" r:id="rId81"/>
    <sheet name="REESTR_DS" sheetId="80" state="hidden" r:id="rId82"/>
    <sheet name="REESTR_VT" sheetId="81" state="hidden" r:id="rId83"/>
    <sheet name="REESTR_VED" sheetId="82" state="hidden" r:id="rId84"/>
    <sheet name="REESTR_MO_FILTER" sheetId="83" state="hidden" r:id="rId85"/>
    <sheet name="REESTR_LINK" sheetId="84" state="hidden" r:id="rId86"/>
    <sheet name="modSheetMain" sheetId="85" state="hidden" r:id="rId87"/>
    <sheet name="modfrmReportMode" sheetId="86" state="hidden" r:id="rId88"/>
    <sheet name="modfrmReestrObj" sheetId="87" state="hidden" r:id="rId89"/>
    <sheet name="AllSheetsInThisWorkbook" sheetId="88" state="hidden" r:id="rId90"/>
    <sheet name="modInfo" sheetId="89" state="hidden" r:id="rId91"/>
  </sheets>
  <definedNames>
    <definedName function="false" hidden="false" name="anscount" vbProcedure="false">1</definedName>
    <definedName function="false" hidden="false" name="BLOCK_BALANCE_INDICATORS" vbProcedure="false">Титульный!$50:$60</definedName>
    <definedName function="false" hidden="false" name="BLOCK_BALANCE_TKO_FLAG_TRANS" vbProcedure="false">Титульный!$61:$62</definedName>
    <definedName function="false" hidden="false" name="BLOCK_CONNECTION_STATE" vbProcedure="false">Титульный!$48:$49</definedName>
    <definedName function="false" hidden="false" name="BLOCK_DIFFERENTIATION_NOT_TKO" vbProcedure="false">Дифференциация!$J:$M</definedName>
    <definedName function="false" hidden="false" name="BLOCK_DIFF_CS" vbProcedure="false">Титульный!$40:$41</definedName>
    <definedName function="false" hidden="false" name="BLOCK_FIRST_TARIFF" vbProcedure="false">Титульный!$20:$24</definedName>
    <definedName function="false" hidden="false" name="BLOCK_FIRST_TARIFF_OREG_PUBL" vbProcedure="false">Титульный!$23:$24</definedName>
    <definedName function="false" hidden="false" name="BLOCK_IP_DETAILED_FACT_IST_FIN" vbProcedure="false">'ИП. Детализация'!$AD:$AE</definedName>
    <definedName function="false" hidden="false" name="BLOCK_IP_DETAILED_FACT_PERIOD_EVENT" vbProcedure="false">'ИП. Детализация'!$AI:$AK</definedName>
    <definedName function="false" hidden="false" name="BLOCK_MAIN_INFO_HEAT" vbProcedure="false">'Общая информация об организации'!$19:$24</definedName>
    <definedName function="false" hidden="false" name="BLOCK_MAIN_INFO_NOT_TKO" vbProcedure="false">'Общая информация об организации'!$46:$49</definedName>
    <definedName function="false" hidden="false" name="BLOCK_MAIN_INFO_OBJECT_COLDVSNA" vbProcedure="false">'Общая информация по ВД'!$X:$Z</definedName>
    <definedName function="false" hidden="false" name="BLOCK_MAIN_INFO_OBJECT_COMM_COLDVSNA" vbProcedure="false">'Общая информация по ВД'!$AG:$AG</definedName>
    <definedName function="false" hidden="false" name="BLOCK_MAIN_INFO_OBJECT_COMM_HEAT" vbProcedure="false">'Общая информация по ВД'!$AE:$AE</definedName>
    <definedName function="false" hidden="false" name="BLOCK_MAIN_INFO_OBJECT_COMM_HOTVSNA" vbProcedure="false">'Общая информация по ВД'!$AH:$AH</definedName>
    <definedName function="false" hidden="false" name="BLOCK_MAIN_INFO_OBJECT_COMM_VOTV" vbProcedure="false">'Общая информация по ВД'!$AF:$AF</definedName>
    <definedName function="false" hidden="false" name="BLOCK_MAIN_INFO_OBJECT_HEAT" vbProcedure="false">'Общая информация по ВД'!$H:$R</definedName>
    <definedName function="false" hidden="false" name="BLOCK_MAIN_INFO_OBJECT_HOTVSNA" vbProcedure="false">'Общая информация по ВД'!$AB:$AC</definedName>
    <definedName function="false" hidden="false" name="BLOCK_MAIN_INFO_OBJECT_VOTV" vbProcedure="false">'Общая информация по ВД'!$T:$V</definedName>
    <definedName function="false" hidden="false" name="BLOCK_NOTE_P_TARIFF_A" vbProcedure="false">'ТС. Т-ТЭ | &gt;=25МВт'!$58:$60</definedName>
    <definedName function="false" hidden="false" name="BLOCK_NOTE_P_TARIFF_A_COLDVSNA" vbProcedure="false">'ХВС. Т-пит'!$54:$55</definedName>
    <definedName function="false" hidden="false" name="BLOCK_NOTE_P_TARIFF_A_HOTVSNA" vbProcedure="false">'ГВС. Т-гор.вода'!$55:$56</definedName>
    <definedName function="false" hidden="false" name="BLOCK_NOTE_P_TARIFF_A_VOTV" vbProcedure="false">'ВО. Т-во'!$54:$55</definedName>
    <definedName function="false" hidden="false" name="BLOCK_NOTE_P_TARIFF_B" vbProcedure="false">'ТС. Т-ТЭ | ТСО'!$58:$60</definedName>
    <definedName function="false" hidden="false" name="BLOCK_NOTE_P_TARIFF_B_COLDVSNA" vbProcedure="false">'ХВС. Т-тех'!$54:$55</definedName>
    <definedName function="false" hidden="false" name="BLOCK_NOTE_P_TARIFF_B_HOTVSNA" vbProcedure="false">'ГВС. Т-транс'!$55:$56</definedName>
    <definedName function="false" hidden="false" name="BLOCK_NOTE_P_TARIFF_B_VOTV" vbProcedure="false">'ВО. Т-транс'!$54:$55</definedName>
    <definedName function="false" hidden="false" name="BLOCK_NOTE_P_TARIFF_C" vbProcedure="false">'ТС. Т-ТН'!$58:$61</definedName>
    <definedName function="false" hidden="false" name="BLOCK_NOTE_P_TARIFF_C_COLDVSNA" vbProcedure="false">'ХВС. Т-транс'!$54:$55</definedName>
    <definedName function="false" hidden="false" name="BLOCK_NOTE_P_TARIFF_C_HOTVSNA" vbProcedure="false">'ГВС. Т-подкл'!$64:$65</definedName>
    <definedName function="false" hidden="false" name="BLOCK_NOTE_P_TARIFF_C_VOTV" vbProcedure="false">'ВО. Т-подкл'!$64:$65</definedName>
    <definedName function="false" hidden="false" name="BLOCK_NOTE_P_TARIFF_D" vbProcedure="false">'ТС. Т-гор.вода'!$66:$68</definedName>
    <definedName function="false" hidden="false" name="BLOCK_NOTE_P_TARIFF_D_COLDVSNA" vbProcedure="false">'ХВС. Т-подвоз'!$54:$55</definedName>
    <definedName function="false" hidden="false" name="BLOCK_NOTE_P_TARIFF_E1" vbProcedure="false">'ТС. Т-передача ТЭ'!$58:$61</definedName>
    <definedName function="false" hidden="false" name="BLOCK_NOTE_P_TARIFF_E2" vbProcedure="false">'ТС. Т-передача ТН'!$58:$61</definedName>
    <definedName function="false" hidden="false" name="BLOCK_NOTE_P_TARIFF_E_COLDVSNA" vbProcedure="false">'ХВС. Т-подкл'!$64:$65</definedName>
    <definedName function="false" hidden="false" name="BLOCK_NOTE_P_TARIFF_F" vbProcedure="false">'ТС. Резерв мощности'!$58:$60</definedName>
    <definedName function="false" hidden="false" name="BLOCK_NOTE_P_TARIFF_G" vbProcedure="false">'ТС. Т-подкл'!$63:$65</definedName>
    <definedName function="false" hidden="false" name="BLOCK_NOTE_P_TARIFF_H" vbProcedure="false">'ТС. Т-подкл(инд)'!$60:$62</definedName>
    <definedName function="false" hidden="false" name="BLOCK_NOTE_P_TARIFF_I" vbProcedure="false">'ТС. Т-ТЭ | предел'!$58:$60</definedName>
    <definedName function="false" hidden="false" name="BLOCK_NOTE_P_TARIFF_I_1" vbProcedure="false">'ТС. Т-ТЭ | индикат'!$58:$60</definedName>
    <definedName function="false" hidden="false" name="BLOCK_NOTE_R_TARIFF_A" vbProcedure="false">'ТС. Т-ТЭ | &gt;=25МВт'!$61:$64</definedName>
    <definedName function="false" hidden="false" name="BLOCK_NOTE_R_TARIFF_A_COLDVSNA" vbProcedure="false">'ХВС. Т-пит'!$56:$57</definedName>
    <definedName function="false" hidden="false" name="BLOCK_NOTE_R_TARIFF_A_HOTVSNA" vbProcedure="false">'ГВС. Т-гор.вода'!$57:$58</definedName>
    <definedName function="false" hidden="false" name="BLOCK_NOTE_R_TARIFF_A_VOTV" vbProcedure="false">'ВО. Т-во'!$56:$57</definedName>
    <definedName function="false" hidden="false" name="BLOCK_NOTE_R_TARIFF_B" vbProcedure="false">'ТС. Т-ТЭ | ТСО'!$61:$64</definedName>
    <definedName function="false" hidden="false" name="BLOCK_NOTE_R_TARIFF_B_COLDVSNA" vbProcedure="false">'ХВС. Т-тех'!$56:$57</definedName>
    <definedName function="false" hidden="false" name="BLOCK_NOTE_R_TARIFF_B_HOTVSNA" vbProcedure="false">'ГВС. Т-транс'!$57:$58</definedName>
    <definedName function="false" hidden="false" name="BLOCK_NOTE_R_TARIFF_B_VOTV" vbProcedure="false">'ВО. Т-транс'!$56:$57</definedName>
    <definedName function="false" hidden="false" name="BLOCK_NOTE_R_TARIFF_C" vbProcedure="false">'ТС. Т-ТН'!$62:$65</definedName>
    <definedName function="false" hidden="false" name="BLOCK_NOTE_R_TARIFF_C_COLDVSNA" vbProcedure="false">'ХВС. Т-транс'!$56:$57</definedName>
    <definedName function="false" hidden="false" name="BLOCK_NOTE_R_TARIFF_C_HOTVSNA" vbProcedure="false">'ГВС. Т-подкл'!$66:$67</definedName>
    <definedName function="false" hidden="false" name="BLOCK_NOTE_R_TARIFF_C_VOTV" vbProcedure="false">'ВО. Т-подкл'!$66:$67</definedName>
    <definedName function="false" hidden="false" name="BLOCK_NOTE_R_TARIFF_D" vbProcedure="false">'ТС. Т-гор.вода'!$69:$71</definedName>
    <definedName function="false" hidden="false" name="BLOCK_NOTE_R_TARIFF_D_COLDVSNA" vbProcedure="false">'ХВС. Т-подвоз'!$56:$57</definedName>
    <definedName function="false" hidden="false" name="BLOCK_NOTE_R_TARIFF_E1" vbProcedure="false">'ТС. Т-передача ТЭ'!$62:$65</definedName>
    <definedName function="false" hidden="false" name="BLOCK_NOTE_R_TARIFF_E2" vbProcedure="false">'ТС. Т-передача ТН'!$62:$65</definedName>
    <definedName function="false" hidden="false" name="BLOCK_NOTE_R_TARIFF_E_COLDVSNA" vbProcedure="false">'ХВС. Т-подкл'!$66:$67</definedName>
    <definedName function="false" hidden="false" name="BLOCK_NOTE_R_TARIFF_F" vbProcedure="false">'ТС. Резерв мощности'!$61:$64</definedName>
    <definedName function="false" hidden="false" name="BLOCK_NOTE_R_TARIFF_G" vbProcedure="false">'ТС. Т-подкл'!$66:$68</definedName>
    <definedName function="false" hidden="false" name="BLOCK_NOTE_R_TARIFF_H" vbProcedure="false">'ТС. Т-подкл(инд)'!$63:$65</definedName>
    <definedName function="false" hidden="false" name="BLOCK_NOTE_R_TARIFF_I" vbProcedure="false">'ТС. Т-ТЭ | предел'!$61:$64</definedName>
    <definedName function="false" hidden="false" name="BLOCK_NOTE_R_TARIFF_I_1" vbProcedure="false">'ТС. Т-ТЭ | индикат'!$61:$64</definedName>
    <definedName function="false" hidden="false" name="BLOCK_NOT_ROIV_INDICATORS_1" vbProcedure="false">Титульный!$37:$37</definedName>
    <definedName function="false" hidden="false" name="BLOCK_NOT_ROIV_INDICATORS_2" vbProcedure="false">Титульный!$38:$39</definedName>
    <definedName function="false" hidden="false" name="BLOCK_NOT_ROIV_INDICATORS_3" vbProcedure="false">Титульный!$63:$65</definedName>
    <definedName function="false" hidden="false" name="BLOCK_PERIOD_DATA" vbProcedure="false">Титульный!$13:$13</definedName>
    <definedName function="false" hidden="false" name="BLOCK_PERIOD_QUARTER" vbProcedure="false">Титульный!$15:$15</definedName>
    <definedName function="false" hidden="false" name="BLOCK_PERIOD_TWO_DATA" vbProcedure="false">Титульный!$11:$12</definedName>
    <definedName function="false" hidden="false" name="BLOCK_PERIOD_YEAR" vbProcedure="false">Титульный!$14:$14</definedName>
    <definedName function="false" hidden="false" name="BLOCK_POK_FHD20_NOT_HEAT" vbProcedure="false">'Показатели ФХД &gt;20%'!$20:$22</definedName>
    <definedName function="false" hidden="false" name="BLOCK_POK_FHD_COLDVSNA_P1" vbProcedure="false">'Показатели ФХД'!$82:$90</definedName>
    <definedName function="false" hidden="false" name="BLOCK_POK_FHD_COLDVSNA_P2" vbProcedure="false">'Показатели ФХД'!$115:$119</definedName>
    <definedName function="false" hidden="false" name="BLOCK_POK_FHD_HEAT_ONLY_REG_ORG_P1" vbProcedure="false">'Показатели ФХД'!$56:$57</definedName>
    <definedName function="false" hidden="false" name="BLOCK_POK_FHD_HEAT_ONLY_REG_ORG_P2" vbProcedure="false">'Показатели ФХД'!$80:$131</definedName>
    <definedName function="false" hidden="false" name="BLOCK_POK_FHD_HEAT_P1" vbProcedure="false">'Показатели ФХД'!$33:$40</definedName>
    <definedName function="false" hidden="false" name="BLOCK_POK_FHD_HEAT_P2" vbProcedure="false">'Показатели ФХД'!$72:$72</definedName>
    <definedName function="false" hidden="false" name="BLOCK_POK_FHD_HEAT_P3" vbProcedure="false">'Показатели ФХД'!$99:$111</definedName>
    <definedName function="false" hidden="false" name="BLOCK_POK_FHD_HEAT_P4" vbProcedure="false">'Показатели ФХД'!$113:$113</definedName>
    <definedName function="false" hidden="false" name="BLOCK_POK_FHD_HEAT_P5" vbProcedure="false">'Показатели ФХД'!$120:$130</definedName>
    <definedName function="false" hidden="false" name="BLOCK_POK_FHD_HEAT_P6" vbProcedure="false">'Показатели ФХД'!$47:$47</definedName>
    <definedName function="false" hidden="false" name="BLOCK_POK_FHD_HOTVSNA_P1" vbProcedure="false">'Показатели ФХД'!$41:$43</definedName>
    <definedName function="false" hidden="false" name="BLOCK_POK_FHD_HOTVSNA_P2" vbProcedure="false">'Показатели ФХД'!$91:$95</definedName>
    <definedName function="false" hidden="false" name="BLOCK_POK_FHD_NOT_HEAT_P1" vbProcedure="false">'Показатели ФХД'!$67:$68</definedName>
    <definedName function="false" hidden="false" name="BLOCK_POK_FHD_NOT_HEAT_P2" vbProcedure="false">'Показатели ФХД'!$80:$80</definedName>
    <definedName function="false" hidden="false" name="BLOCK_POK_FHD_NOT_HOTVSNA" vbProcedure="false">'Показатели ФХД'!$48:$48</definedName>
    <definedName function="false" hidden="false" name="BLOCK_POK_FHD_VOTV_P1" vbProcedure="false">'Показатели ФХД'!$96:$98</definedName>
    <definedName function="false" hidden="false" name="BLOCK_POK_FHD_VSNA" vbProcedure="false">'Показатели ФХД'!$114:$114</definedName>
    <definedName function="false" hidden="false" name="BLOCK_POK_KNE_COLDVSNA" vbProcedure="false">'Показатели КНЭ'!$37:$63</definedName>
    <definedName function="false" hidden="false" name="BLOCK_POK_KNE_HEAT" vbProcedure="false">'Показатели КНЭ'!$13:$35</definedName>
    <definedName function="false" hidden="false" name="BLOCK_POK_KNE_HOTVSNA" vbProcedure="false">'Показатели КНЭ'!$65:$75</definedName>
    <definedName function="false" hidden="false" name="BLOCK_POK_KNE_VOTV" vbProcedure="false">'Показатели КНЭ'!$77:$100</definedName>
    <definedName function="false" hidden="false" name="BLOCK_PRICE_INDICATORS_HEAT" vbProcedure="false">Титульный!$42:$47</definedName>
    <definedName function="false" hidden="false" name="BLOCK_PRICE_INDICATORS_LEVEL" vbProcedure="false">Титульный!$43:$44</definedName>
    <definedName function="false" hidden="false" name="BLOCK_PRICE_IST_TE" vbProcedure="false">'Перечень тарифов'!$S:$V</definedName>
    <definedName function="false" hidden="false" name="BLOCK_PRICE_REQUEST" vbProcedure="false">Титульный!$20:$24</definedName>
    <definedName function="false" hidden="false" name="BLOCK_PT_COLDVSNA" vbProcedure="false">'Перечень тарифов'!$79:$103</definedName>
    <definedName function="false" hidden="false" name="BLOCK_PT_HEAT" vbProcedure="false">'Перечень тарифов'!$13:$77</definedName>
    <definedName function="false" hidden="false" name="BLOCK_PT_HEAT_NOT_R" vbProcedure="false">'Перечень тарифов'!$63:$67</definedName>
    <definedName function="false" hidden="false" name="BLOCK_PT_HEAT_NOT_R_TMP" vbProcedure="false">'Перечень тарифов'!$58:$62</definedName>
    <definedName function="false" hidden="false" name="BLOCK_PT_HEAT_PHEAT" vbProcedure="false">'Перечень тарифов'!$23:$27</definedName>
    <definedName function="false" hidden="false" name="BLOCK_PT_HEAT_PHEAT_HIDDEN_FORMULAS" vbProcedure="false">'Перечень тарифов'!$Z$23:$AQ$23</definedName>
    <definedName function="false" hidden="false" name="BLOCK_PT_HEAT_RHEAT" vbProcedure="false">'Перечень тарифов'!$18:$22</definedName>
    <definedName function="false" hidden="false" name="BLOCK_PT_HEAT_RHEAT_HIDDEN_FORMULAS" vbProcedure="false">'Перечень тарифов'!$Z$18:$AQ$18</definedName>
    <definedName function="false" hidden="false" name="BLOCK_PT_HOTVSNA" vbProcedure="false">'Перечень тарифов'!$105:$119</definedName>
    <definedName function="false" hidden="false" name="BLOCK_PT_VOTV" vbProcedure="false">'Перечень тарифов'!$121:$135</definedName>
    <definedName function="false" hidden="false" name="BLOCK_TABLE_P_TARIFF_A" vbProcedure="false">'ТС. Т-ТЭ | &gt;=25МВт'!$28:$32</definedName>
    <definedName function="false" hidden="false" name="BLOCK_TABLE_P_TARIFF_A_COLDVSNA" vbProcedure="false">'ХВС. Т-пит'!$26:$30</definedName>
    <definedName function="false" hidden="false" name="BLOCK_TABLE_P_TARIFF_A_HOTVSNA" vbProcedure="false">'ГВС. Т-гор.вода'!$26:$30</definedName>
    <definedName function="false" hidden="false" name="BLOCK_TABLE_P_TARIFF_A_VOTV" vbProcedure="false">'ВО. Т-во'!$26:$30</definedName>
    <definedName function="false" hidden="false" name="BLOCK_TABLE_P_TARIFF_B" vbProcedure="false">'ТС. Т-ТЭ | ТСО'!$28:$32</definedName>
    <definedName function="false" hidden="false" name="BLOCK_TABLE_P_TARIFF_B_COLDVSNA" vbProcedure="false">'ХВС. Т-тех'!$26:$30</definedName>
    <definedName function="false" hidden="false" name="BLOCK_TABLE_P_TARIFF_B_HOTVSNA" vbProcedure="false">'ГВС. Т-транс'!$26:$30</definedName>
    <definedName function="false" hidden="false" name="BLOCK_TABLE_P_TARIFF_B_VOTV" vbProcedure="false">'ВО. Т-транс'!$26:$30</definedName>
    <definedName function="false" hidden="false" name="BLOCK_TABLE_P_TARIFF_C" vbProcedure="false">'ТС. Т-ТН'!$28:$32</definedName>
    <definedName function="false" hidden="false" name="BLOCK_TABLE_P_TARIFF_C_COLDVSNA" vbProcedure="false">'ХВС. Т-транс'!$26:$30</definedName>
    <definedName function="false" hidden="false" name="BLOCK_TABLE_P_TARIFF_C_HOTVSNA" vbProcedure="false">'ГВС. Т-подкл'!$30:$34</definedName>
    <definedName function="false" hidden="false" name="BLOCK_TABLE_P_TARIFF_C_VOTV" vbProcedure="false">'ВО. Т-подкл'!$30:$34</definedName>
    <definedName function="false" hidden="false" name="BLOCK_TABLE_P_TARIFF_D" vbProcedure="false">'ТС. Т-гор.вода'!$32:$36</definedName>
    <definedName function="false" hidden="false" name="BLOCK_TABLE_P_TARIFF_D_COLDVSNA" vbProcedure="false">'ХВС. Т-подвоз'!$26:$30</definedName>
    <definedName function="false" hidden="false" name="BLOCK_TABLE_P_TARIFF_E1" vbProcedure="false">'ТС. Т-передача ТЭ'!$28:$32</definedName>
    <definedName function="false" hidden="false" name="BLOCK_TABLE_P_TARIFF_E2" vbProcedure="false">'ТС. Т-передача ТН'!$28:$32</definedName>
    <definedName function="false" hidden="false" name="BLOCK_TABLE_P_TARIFF_E_COLDVSNA" vbProcedure="false">'ХВС. Т-подкл'!$30:$34</definedName>
    <definedName function="false" hidden="false" name="BLOCK_TABLE_P_TARIFF_F" vbProcedure="false">'ТС. Резерв мощности'!$28:$32</definedName>
    <definedName function="false" hidden="false" name="BLOCK_TABLE_P_TARIFF_G" vbProcedure="false">'ТС. Т-подкл'!$29:$33</definedName>
    <definedName function="false" hidden="false" name="BLOCK_TABLE_P_TARIFF_H" vbProcedure="false">'ТС. Т-подкл(инд)'!$26:$30</definedName>
    <definedName function="false" hidden="false" name="BLOCK_TABLE_P_TARIFF_I" vbProcedure="false">'ТС. Т-ТЭ | предел'!$28:$32</definedName>
    <definedName function="false" hidden="false" name="BLOCK_TABLE_P_TARIFF_I_1" vbProcedure="false">'ТС. Т-ТЭ | индикат'!$28:$32</definedName>
    <definedName function="false" hidden="false" name="BLOCK_TABLE_R_TARIFF_A" vbProcedure="false">'ТС. Т-ТЭ | &gt;=25МВт'!$33:$35</definedName>
    <definedName function="false" hidden="false" name="BLOCK_TABLE_R_TARIFF_A_COLDVSNA" vbProcedure="false">'ХВС. Т-пит'!$31:$33</definedName>
    <definedName function="false" hidden="false" name="BLOCK_TABLE_R_TARIFF_A_HOTVSNA" vbProcedure="false">'ГВС. Т-гор.вода'!$31:$33</definedName>
    <definedName function="false" hidden="false" name="BLOCK_TABLE_R_TARIFF_A_VOTV" vbProcedure="false">'ВО. Т-во'!$31:$33</definedName>
    <definedName function="false" hidden="false" name="BLOCK_TABLE_R_TARIFF_B" vbProcedure="false">'ТС. Т-ТЭ | ТСО'!$33:$35</definedName>
    <definedName function="false" hidden="false" name="BLOCK_TABLE_R_TARIFF_B_COLDVSNA" vbProcedure="false">'ХВС. Т-тех'!$31:$33</definedName>
    <definedName function="false" hidden="false" name="BLOCK_TABLE_R_TARIFF_B_HOTVSNA" vbProcedure="false">'ГВС. Т-транс'!$31:$33</definedName>
    <definedName function="false" hidden="false" name="BLOCK_TABLE_R_TARIFF_B_VOTV" vbProcedure="false">'ВО. Т-транс'!$31:$33</definedName>
    <definedName function="false" hidden="false" name="BLOCK_TABLE_R_TARIFF_C" vbProcedure="false">'ТС. Т-ТН'!$33:$35</definedName>
    <definedName function="false" hidden="false" name="BLOCK_TABLE_R_TARIFF_C_COLDVSNA" vbProcedure="false">'ХВС. Т-транс'!$31:$33</definedName>
    <definedName function="false" hidden="false" name="BLOCK_TABLE_R_TARIFF_C_HOTVSNA" vbProcedure="false">'ГВС. Т-подкл'!$35:$37</definedName>
    <definedName function="false" hidden="false" name="BLOCK_TABLE_R_TARIFF_C_VOTV" vbProcedure="false">'ВО. Т-подкл'!$35:$37</definedName>
    <definedName function="false" hidden="false" name="BLOCK_TABLE_R_TARIFF_D" vbProcedure="false">'ТС. Т-гор.вода'!$37:$39</definedName>
    <definedName function="false" hidden="false" name="BLOCK_TABLE_R_TARIFF_D_COLDVSNA" vbProcedure="false">'ХВС. Т-подвоз'!$31:$33</definedName>
    <definedName function="false" hidden="false" name="BLOCK_TABLE_R_TARIFF_E1" vbProcedure="false">'ТС. Т-передача ТЭ'!$33:$35</definedName>
    <definedName function="false" hidden="false" name="BLOCK_TABLE_R_TARIFF_E2" vbProcedure="false">'ТС. Т-передача ТН'!$33:$35</definedName>
    <definedName function="false" hidden="false" name="BLOCK_TABLE_R_TARIFF_E_COLDVSNA" vbProcedure="false">'ХВС. Т-подкл'!$35:$37</definedName>
    <definedName function="false" hidden="false" name="BLOCK_TABLE_R_TARIFF_F" vbProcedure="false">'ТС. Резерв мощности'!$33:$35</definedName>
    <definedName function="false" hidden="false" name="BLOCK_TABLE_R_TARIFF_G" vbProcedure="false">'ТС. Т-подкл'!$34:$36</definedName>
    <definedName function="false" hidden="false" name="BLOCK_TABLE_R_TARIFF_H" vbProcedure="false">'ТС. Т-подкл(инд)'!$31:$33</definedName>
    <definedName function="false" hidden="false" name="BLOCK_TABLE_R_TARIFF_I" vbProcedure="false">'ТС. Т-ТЭ | предел'!$33:$35</definedName>
    <definedName function="false" hidden="false" name="BLOCK_TABLE_R_TARIFF_I_1" vbProcedure="false">'ТС. Т-ТЭ | индикат'!$33:$35</definedName>
    <definedName function="false" hidden="false" name="BLOCK_TEMPLATES_INVEST_TIT" vbProcedure="false">Титульный!$59:$60</definedName>
    <definedName function="false" hidden="false" name="BLOCK_TERMS_HEAT_P1" vbProcedure="false">Договоры!$19:$19</definedName>
    <definedName function="false" hidden="false" name="BLOCK_TERMS_NOT_TKO_P1" vbProcedure="false">Договоры!$16:$18</definedName>
    <definedName function="false" hidden="false" name="BLOCK_TERMS_NOT_TKO_P2" vbProcedure="false">Договоры!$20:$22</definedName>
    <definedName function="false" hidden="false" name="BLOCK_TERMS_TKO_TRANS" vbProcedure="false">Договоры!$23:$26</definedName>
    <definedName function="false" hidden="false" name="BLOCK_TERRITORY_INFO" vbProcedure="false">'Список территорий'!$7:$7</definedName>
    <definedName function="false" hidden="false" name="BLOCK_TITLE_ROIV_INFO" vbProcedure="false">Титульный!$9:$9</definedName>
    <definedName function="false" hidden="false" name="BLOCK_WARM_ORG_TYPE" vbProcedure="false">Титульный!$36:$36</definedName>
    <definedName function="false" hidden="false" name="B_FHD20_ADD_HL_2_COLUMN_MARKER" vbProcedure="false">'Показатели ФХД &gt;20%'!$G$8</definedName>
    <definedName function="false" hidden="false" name="B_FHD20_ADD_HL_3_COLUMN_MARKER" vbProcedure="false">'Показатели ФХД &gt;20%'!$J$8</definedName>
    <definedName function="false" hidden="false" name="B_FHD20_ADD_HL_4_COLUMN_MARKER" vbProcedure="false">'Показатели ФХД &gt;20%'!$N$8</definedName>
    <definedName function="false" hidden="false" name="B_FHD20_ALL_DATA" vbProcedure="false">'Показатели ФХД &gt;20%'!$D$13:$S$23</definedName>
    <definedName function="false" hidden="false" name="B_FHD20_COSTS_OPS_diff_1" vbProcedure="false">'Показатели ФХД &gt;20%'!$Q$17</definedName>
    <definedName function="false" hidden="false" name="B_FHD20_COSTS_PH_diff_1" vbProcedure="false">'Показатели ФХД &gt;20%'!$Q$20</definedName>
    <definedName function="false" hidden="false" name="B_FHD20_DEL_HL_2_COLUMN_MARKER" vbProcedure="false">'Показатели ФХД &gt;20%'!$E$8</definedName>
    <definedName function="false" hidden="false" name="B_FHD20_DEL_HL_3_COLUMN_MARKER" vbProcedure="false">'Показатели ФХД &gt;20%'!$H$8</definedName>
    <definedName function="false" hidden="false" name="B_FHD20_DEL_HL_4_COLUMN_MARKER" vbProcedure="false">'Показатели ФХД &gt;20%'!$L$8</definedName>
    <definedName function="false" hidden="false" name="B_FHD20_diff_1" vbProcedure="false">'Показатели ФХД &gt;20%'!$H$14:$R$16</definedName>
    <definedName function="false" hidden="false" name="B_FHD20_FLAG_FHD" vbProcedure="false">'Показатели ФХД &gt;20%'!$V$11:$V$23</definedName>
    <definedName function="false" hidden="false" name="B_FHD20_NUMBER_COLUMN_MARKER" vbProcedure="false">'Показатели ФХД &gt;20%'!$D$8</definedName>
    <definedName function="false" hidden="false" name="B_FHD20_PART_COLUMN_MARKER" vbProcedure="false">'Показатели ФХД &gt;20%'!$R$8</definedName>
    <definedName function="false" hidden="false" name="B_FHD_CHECK_INDEX_1" vbProcedure="false">'Показатели ФХД'!$L$66</definedName>
    <definedName function="false" hidden="false" name="B_FHD_CHECK_INDEX_2" vbProcedure="false">'Показатели ФХД'!$L$68</definedName>
    <definedName function="false" hidden="false" name="B_FHD_COSTS_INDEX_1" vbProcedure="false">'Показатели ФХД'!$H$65:$J$65</definedName>
    <definedName function="false" hidden="false" name="B_FHD_COSTS_INDEX_2" vbProcedure="false">'Показатели ФХД'!$H$67:$J$67</definedName>
    <definedName function="false" hidden="false" name="B_FHD_DATA_TOP80_ACTIVITY" vbProcedure="false">'Показатели ФХД'!$H$81:$J$81</definedName>
    <definedName function="false" hidden="false" name="B_FHD_diff_1" vbProcedure="false">'Показатели ФХД'!$I$25:$I$27</definedName>
    <definedName function="false" hidden="false" name="B_FHD_FLAG_DIFFERENTIATION" vbProcedure="false">'Показатели ФХД'!$H$24:$J$24</definedName>
    <definedName function="false" hidden="false" name="B_FHD_FLAG_INDEX_1" vbProcedure="false">'Показатели ФХД'!$H$66:$J$66</definedName>
    <definedName function="false" hidden="false" name="B_FHD_FLAG_INDEX_2" vbProcedure="false">'Показатели ФХД'!$H$68:$J$68</definedName>
    <definedName function="false" hidden="false" name="B_FHD_TKO_DATA_TOP80_ACTIVITY" vbProcedure="false">'ТКО. Показатели ФХД'!$H$43:$J$43</definedName>
    <definedName function="false" hidden="false" name="B_FHD_TKO_diff_1" vbProcedure="false">'ТКО. Показатели ФХД'!$I$10:$I$12</definedName>
    <definedName function="false" hidden="false" name="B_FHD_TKO_FLAG_DIFFERENTIATION" vbProcedure="false">'ТКО. Показатели ФХД'!$H$9:$J$9</definedName>
    <definedName function="false" hidden="false" name="B_FHD_TKO_TRANS_DATA_TOP80_ACTIVITY" vbProcedure="false">'ТКО. Транс. Показатели ФХД'!$H$35:$J$35</definedName>
    <definedName function="false" hidden="false" name="B_FHD_TKO_TRANS_diff_1" vbProcedure="false">'ТКО. Транс. Показатели ФХД'!$I$10:$I$12</definedName>
    <definedName function="false" hidden="false" name="B_FHD_TKO_TRANS_FLAG_DIFFERENTIATION" vbProcedure="false">'ТКО. Транс. Показатели ФХД'!$H$9:$J$9</definedName>
    <definedName function="false" hidden="false" name="B_KNE_diff_1" vbProcedure="false">'Показатели КНЭ'!$I$7:$J$9</definedName>
    <definedName function="false" hidden="false" name="B_OTEP_diff_1" vbProcedure="false">'Показатели ОТЭП'!$L$10:$L$12</definedName>
    <definedName function="false" hidden="false" name="B_OTEP_FLAG_DIFFERENTIATION" vbProcedure="false">'Показатели ОТЭП'!$L$9:$O$9</definedName>
    <definedName function="false" hidden="false" name="B_OTEP_HEAT_DATA_TOP80_ACTIVITY" vbProcedure="false">'Показатели ОТЭП'!$L$15:$O$15</definedName>
    <definedName function="false" hidden="false" name="checkCell_List01" vbProcedure="false">'Список территорий'!$E$15:$I$15</definedName>
    <definedName function="false" hidden="false" name="checkCell_List07" vbProcedure="false">'Сведения об изменении'!$D$11:$E$13</definedName>
    <definedName function="false" hidden="false" name="CLASS_TKO_LIST" vbProcedure="false">TEHSHEET!$AZ$90:$AZ$94</definedName>
    <definedName function="false" hidden="false" name="code" vbProcedure="false">Инструкция!$B$2</definedName>
    <definedName function="false" hidden="false" name="CodeTemplateList" vbProcedure="false">TEHSHEET!$F$46:$F$53</definedName>
    <definedName function="false" hidden="false" name="COLDVSNA_FIN_SRC_LIST" vbProcedure="false">TEHSHEET!$BJ$4:$BJ$34</definedName>
    <definedName function="false" hidden="false" name="COLDVSNA_FIN_SRC_VLD_LIST" vbProcedure="false">TEHSHEET!$BJ$39:$BJ$60</definedName>
    <definedName function="false" hidden="false" name="COLDVSNA_IP_EVENT_CI_STAGE_LIST" vbProcedure="false">TEHSHEET!$BJ$97:$BJ$100</definedName>
    <definedName function="false" hidden="false" name="COLDVSNA_IP_EVENT_GROUP_LIST" vbProcedure="false">TEHSHEET!$BJ$69:$BJ$76</definedName>
    <definedName function="false" hidden="false" name="COLDVSNA_IP_EVENT_SUBGROUP_1_LIST" vbProcedure="false">TEHSHEET!$BJ$80:$BJ$83</definedName>
    <definedName function="false" hidden="false" name="COLDVSNA_IP_EVENT_SUBGROUP_3_LIST" vbProcedure="false">TEHSHEET!$BJ$87:$BJ$88</definedName>
    <definedName function="false" hidden="false" name="COLDVSNA_IP_EVENT_SUBGROUP_5_LIST" vbProcedure="false">TEHSHEET!$BJ$92:$BJ$93</definedName>
    <definedName function="false" hidden="false" name="COLDVSNA_IP_EVENT_TYPE_LIST" vbProcedure="false">TEHSHEET!$BJ$108</definedName>
    <definedName function="false" hidden="false" name="COLDVSNA_PT_VED_ID" vbProcedure="false">TEHSHEET!$BT$19:$BT$25</definedName>
    <definedName function="false" hidden="false" name="COLDVSNA_PT_VED_NAME" vbProcedure="false">TEHSHEET!$BU$19:$BU$25</definedName>
    <definedName function="false" hidden="false" name="COLDVSNA_PT_VED_NAME_LIST" vbProcedure="false">TEHSHEET!$BT$19:$BU$25</definedName>
    <definedName function="false" hidden="false" name="COLDVSNA_TARIFF_A_COLDVSNA_ADD_HL_COLUMN_MARKER" vbProcedure="false">'ХВС. Т-пит'!$T$34</definedName>
    <definedName function="false" hidden="false" name="COLDVSNA_TARIFF_A_COLDVSNA_DELETE_PERIOD_ROW_MARKER" vbProcedure="false">'ХВС. Т-пит'!$O$35</definedName>
    <definedName function="false" hidden="false" name="COLDVSNA_TARIFF_A_COLDVSNA_DEL_HL_DATA_DIFF_COLUMN_MARKER" vbProcedure="false">'ХВС. Т-пит'!$R$34</definedName>
    <definedName function="false" hidden="false" name="COLDVSNA_TARIFF_A_COLDVSNA_DEL_HL_FLAG_DIFF_COLUMN_MARKER" vbProcedure="false">'ХВС. Т-пит'!$P$34</definedName>
    <definedName function="false" hidden="false" name="COLDVSNA_TARIFF_A_COLDVSNA_DEL_HL_GC_COLUMN_MARKER" vbProcedure="false">'ХВС. Т-пит'!$Q$34</definedName>
    <definedName function="false" hidden="false" name="COLDVSNA_TARIFF_A_COLDVSNA_FLAG_BLOCK_COLUMN_MARKER" vbProcedure="false">'ХВС. Т-пит'!$L$36</definedName>
    <definedName function="false" hidden="false" name="COLDVSNA_TARIFF_A_COLDVSNA_FLAG_BLOCK_ROW_MARKER" vbProcedure="false">'ХВС. Т-пит'!$O$20</definedName>
    <definedName function="false" hidden="false" name="COLDVSNA_TARIFF_A_COLDVSNA_NUM_CS_COLUMN_MARKER" vbProcedure="false">'ХВС. Т-пит'!$G$36</definedName>
    <definedName function="false" hidden="false" name="COLDVSNA_TARIFF_A_COLDVSNA_NUM_DATA_DIFF_COLUMN_MARKER" vbProcedure="false">'ХВС. Т-пит'!$K$36</definedName>
    <definedName function="false" hidden="false" name="COLDVSNA_TARIFF_A_COLDVSNA_NUM_FLAG_DIFF_COLUMN_MARKER" vbProcedure="false">'ХВС. Т-пит'!$I$36</definedName>
    <definedName function="false" hidden="false" name="COLDVSNA_TARIFF_A_COLDVSNA_NUM_GC_COLUMN_MARKER" vbProcedure="false">'ХВС. Т-пит'!$J$36</definedName>
    <definedName function="false" hidden="false" name="COLDVSNA_TARIFF_A_COLDVSNA_NUM_NTAR_COLUMN_MARKER" vbProcedure="false">'ХВС. Т-пит'!$E$36</definedName>
    <definedName function="false" hidden="false" name="COLDVSNA_TARIFF_A_COLDVSNA_NUM_TER_COLUMN_MARKER" vbProcedure="false">'ХВС. Т-пит'!$F$36</definedName>
    <definedName function="false" hidden="false" name="COLDVSNA_TARIFF_B_COLDVSNA_ADD_HL_COLUMN_MARKER" vbProcedure="false">'ХВС. Т-тех'!$T$34</definedName>
    <definedName function="false" hidden="false" name="COLDVSNA_TARIFF_B_COLDVSNA_DELETE_PERIOD_ROW_MARKER" vbProcedure="false">'ХВС. Т-тех'!$O$35</definedName>
    <definedName function="false" hidden="false" name="COLDVSNA_TARIFF_B_COLDVSNA_DEL_HL_DATA_DIFF_COLUMN_MARKER" vbProcedure="false">'ХВС. Т-тех'!$R$34</definedName>
    <definedName function="false" hidden="false" name="COLDVSNA_TARIFF_B_COLDVSNA_DEL_HL_FLAG_DIFF_COLUMN_MARKER" vbProcedure="false">'ХВС. Т-тех'!$P$34</definedName>
    <definedName function="false" hidden="false" name="COLDVSNA_TARIFF_B_COLDVSNA_DEL_HL_GC_COLUMN_MARKER" vbProcedure="false">'ХВС. Т-тех'!$Q$34</definedName>
    <definedName function="false" hidden="false" name="COLDVSNA_TARIFF_B_COLDVSNA_FLAG_BLOCK_COLUMN_MARKER" vbProcedure="false">'ХВС. Т-тех'!$L$36</definedName>
    <definedName function="false" hidden="false" name="COLDVSNA_TARIFF_B_COLDVSNA_FLAG_BLOCK_ROW_MARKER" vbProcedure="false">'ХВС. Т-тех'!$O$20</definedName>
    <definedName function="false" hidden="false" name="COLDVSNA_TARIFF_B_COLDVSNA_NUM_CS_COLUMN_MARKER" vbProcedure="false">'ХВС. Т-тех'!$G$36</definedName>
    <definedName function="false" hidden="false" name="COLDVSNA_TARIFF_B_COLDVSNA_NUM_DATA_DIFF_COLUMN_MARKER" vbProcedure="false">'ХВС. Т-тех'!$K$36</definedName>
    <definedName function="false" hidden="false" name="COLDVSNA_TARIFF_B_COLDVSNA_NUM_FLAG_DIFF_COLUMN_MARKER" vbProcedure="false">'ХВС. Т-тех'!$I$36</definedName>
    <definedName function="false" hidden="false" name="COLDVSNA_TARIFF_B_COLDVSNA_NUM_GC_COLUMN_MARKER" vbProcedure="false">'ХВС. Т-тех'!$J$36</definedName>
    <definedName function="false" hidden="false" name="COLDVSNA_TARIFF_B_COLDVSNA_NUM_NTAR_COLUMN_MARKER" vbProcedure="false">'ХВС. Т-тех'!$E$36</definedName>
    <definedName function="false" hidden="false" name="COLDVSNA_TARIFF_B_COLDVSNA_NUM_TER_COLUMN_MARKER" vbProcedure="false">'ХВС. Т-тех'!$F$36</definedName>
    <definedName function="false" hidden="false" name="COLDVSNA_TARIFF_C_COLDVSNA_ADD_HL_COLUMN_MARKER" vbProcedure="false">'ХВС. Т-транс'!$T$34</definedName>
    <definedName function="false" hidden="false" name="COLDVSNA_TARIFF_C_COLDVSNA_DELETE_PERIOD_ROW_MARKER" vbProcedure="false">'ХВС. Т-транс'!$O$35</definedName>
    <definedName function="false" hidden="false" name="COLDVSNA_TARIFF_C_COLDVSNA_DEL_HL_DATA_DIFF_COLUMN_MARKER" vbProcedure="false">'ХВС. Т-транс'!$R$34</definedName>
    <definedName function="false" hidden="false" name="COLDVSNA_TARIFF_C_COLDVSNA_DEL_HL_FLAG_DIFF_COLUMN_MARKER" vbProcedure="false">'ХВС. Т-транс'!$P$34</definedName>
    <definedName function="false" hidden="false" name="COLDVSNA_TARIFF_C_COLDVSNA_DEL_HL_GC_COLUMN_MARKER" vbProcedure="false">'ХВС. Т-транс'!$Q$34</definedName>
    <definedName function="false" hidden="false" name="COLDVSNA_TARIFF_C_COLDVSNA_FLAG_BLOCK_COLUMN_MARKER" vbProcedure="false">'ХВС. Т-транс'!$L$36</definedName>
    <definedName function="false" hidden="false" name="COLDVSNA_TARIFF_C_COLDVSNA_FLAG_BLOCK_ROW_MARKER" vbProcedure="false">'ХВС. Т-транс'!$O$20</definedName>
    <definedName function="false" hidden="false" name="COLDVSNA_TARIFF_C_COLDVSNA_NUM_CS_COLUMN_MARKER" vbProcedure="false">'ХВС. Т-транс'!$G$36</definedName>
    <definedName function="false" hidden="false" name="COLDVSNA_TARIFF_C_COLDVSNA_NUM_DATA_DIFF_COLUMN_MARKER" vbProcedure="false">'ХВС. Т-транс'!$K$36</definedName>
    <definedName function="false" hidden="false" name="COLDVSNA_TARIFF_C_COLDVSNA_NUM_FLAG_DIFF_COLUMN_MARKER" vbProcedure="false">'ХВС. Т-транс'!$I$36</definedName>
    <definedName function="false" hidden="false" name="COLDVSNA_TARIFF_C_COLDVSNA_NUM_GC_COLUMN_MARKER" vbProcedure="false">'ХВС. Т-транс'!$J$36</definedName>
    <definedName function="false" hidden="false" name="COLDVSNA_TARIFF_C_COLDVSNA_NUM_NTAR_COLUMN_MARKER" vbProcedure="false">'ХВС. Т-транс'!$E$36</definedName>
    <definedName function="false" hidden="false" name="COLDVSNA_TARIFF_C_COLDVSNA_NUM_TER_COLUMN_MARKER" vbProcedure="false">'ХВС. Т-транс'!$F$36</definedName>
    <definedName function="false" hidden="false" name="COLDVSNA_TARIFF_D_COLDVSNA_ADD_HL_COLUMN_MARKER" vbProcedure="false">'ХВС. Т-подвоз'!$T$34</definedName>
    <definedName function="false" hidden="false" name="COLDVSNA_TARIFF_D_COLDVSNA_DELETE_PERIOD_ROW_MARKER" vbProcedure="false">'ХВС. Т-подвоз'!$O$35</definedName>
    <definedName function="false" hidden="false" name="COLDVSNA_TARIFF_D_COLDVSNA_DEL_HL_DATA_DIFF_COLUMN_MARKER" vbProcedure="false">'ХВС. Т-подвоз'!$R$34</definedName>
    <definedName function="false" hidden="false" name="COLDVSNA_TARIFF_D_COLDVSNA_DEL_HL_FLAG_DIFF_COLUMN_MARKER" vbProcedure="false">'ХВС. Т-подвоз'!$P$34</definedName>
    <definedName function="false" hidden="false" name="COLDVSNA_TARIFF_D_COLDVSNA_DEL_HL_GC_COLUMN_MARKER" vbProcedure="false">'ХВС. Т-подвоз'!$Q$34</definedName>
    <definedName function="false" hidden="false" name="COLDVSNA_TARIFF_D_COLDVSNA_FLAG_BLOCK_COLUMN_MARKER" vbProcedure="false">'ХВС. Т-подвоз'!$L$36</definedName>
    <definedName function="false" hidden="false" name="COLDVSNA_TARIFF_D_COLDVSNA_FLAG_BLOCK_ROW_MARKER" vbProcedure="false">'ХВС. Т-подвоз'!$O$20</definedName>
    <definedName function="false" hidden="false" name="COLDVSNA_TARIFF_D_COLDVSNA_NUM_CS_COLUMN_MARKER" vbProcedure="false">'ХВС. Т-подвоз'!$G$36</definedName>
    <definedName function="false" hidden="false" name="COLDVSNA_TARIFF_D_COLDVSNA_NUM_DATA_DIFF_COLUMN_MARKER" vbProcedure="false">'ХВС. Т-подвоз'!$K$36</definedName>
    <definedName function="false" hidden="false" name="COLDVSNA_TARIFF_D_COLDVSNA_NUM_FLAG_DIFF_COLUMN_MARKER" vbProcedure="false">'ХВС. Т-подвоз'!$I$36</definedName>
    <definedName function="false" hidden="false" name="COLDVSNA_TARIFF_D_COLDVSNA_NUM_GC_COLUMN_MARKER" vbProcedure="false">'ХВС. Т-подвоз'!$J$36</definedName>
    <definedName function="false" hidden="false" name="COLDVSNA_TARIFF_D_COLDVSNA_NUM_NTAR_COLUMN_MARKER" vbProcedure="false">'ХВС. Т-подвоз'!$E$36</definedName>
    <definedName function="false" hidden="false" name="COLDVSNA_TARIFF_D_COLDVSNA_NUM_TER_COLUMN_MARKER" vbProcedure="false">'ХВС. Т-подвоз'!$F$36</definedName>
    <definedName function="false" hidden="false" name="COLDVSNA_TARIFF_E_COLDVSNA_ADD_HL_COLUMN_MARKER" vbProcedure="false">'ХВС. Т-подкл'!$T$38</definedName>
    <definedName function="false" hidden="false" name="COLDVSNA_TARIFF_E_COLDVSNA_ADD_HL_DIAMETERS_COLUMN_MARKER" vbProcedure="false">'ХВС. Т-подкл'!$AK$38</definedName>
    <definedName function="false" hidden="false" name="COLDVSNA_TARIFF_E_COLDVSNA_ADD_HL_LEN_COLUMN_MARKER" vbProcedure="false">'ХВС. Т-подкл'!$AO$38</definedName>
    <definedName function="false" hidden="false" name="COLDVSNA_TARIFF_E_COLDVSNA_ADD_HL_LOAD_COLUMN_MARKER" vbProcedure="false">'ХВС. Т-подкл'!$AG$38</definedName>
    <definedName function="false" hidden="false" name="COLDVSNA_TARIFF_E_COLDVSNA_ADD_HL_NETS_COLUMN_MARKER" vbProcedure="false">'ХВС. Т-подкл'!$AS$38</definedName>
    <definedName function="false" hidden="false" name="COLDVSNA_TARIFF_E_COLDVSNA_DELETE_PERIOD_ROW_MARKER" vbProcedure="false">'ХВС. Т-подкл'!$O$39</definedName>
    <definedName function="false" hidden="false" name="COLDVSNA_TARIFF_E_COLDVSNA_DEL_HL_DATA_DIFF_COLUMN_MARKER" vbProcedure="false">'ХВС. Т-подкл'!$R$38</definedName>
    <definedName function="false" hidden="false" name="COLDVSNA_TARIFF_E_COLDVSNA_DEL_HL_DIAMETERS_COLUMN_MARKER" vbProcedure="false">'ХВС. Т-подкл'!$AI$38</definedName>
    <definedName function="false" hidden="false" name="COLDVSNA_TARIFF_E_COLDVSNA_DEL_HL_FLAG_DIFF_COLUMN_MARKER" vbProcedure="false">'ХВС. Т-подкл'!$P$38</definedName>
    <definedName function="false" hidden="false" name="COLDVSNA_TARIFF_E_COLDVSNA_DEL_HL_GC_COLUMN_MARKER" vbProcedure="false">'ХВС. Т-подкл'!$Q$38</definedName>
    <definedName function="false" hidden="false" name="COLDVSNA_TARIFF_E_COLDVSNA_DEL_HL_LEN_COLUMN_MARKER" vbProcedure="false">'ХВС. Т-подкл'!$AM$38</definedName>
    <definedName function="false" hidden="false" name="COLDVSNA_TARIFF_E_COLDVSNA_DEL_HL_LOAD_COLUMN_MARKER" vbProcedure="false">'ХВС. Т-подкл'!$AE$38</definedName>
    <definedName function="false" hidden="false" name="COLDVSNA_TARIFF_E_COLDVSNA_DEL_HL_NETS_COLUMN_MARKER" vbProcedure="false">'ХВС. Т-подкл'!$AQ$38</definedName>
    <definedName function="false" hidden="false" name="COLDVSNA_TARIFF_E_COLDVSNA_FLAG_BLOCK_COLUMN_MARKER" vbProcedure="false">'ХВС. Т-подкл'!$L$44</definedName>
    <definedName function="false" hidden="false" name="COLDVSNA_TARIFF_E_COLDVSNA_FLAG_BLOCK_ROW_MARKER" vbProcedure="false">'ХВС. Т-подкл'!$O$24</definedName>
    <definedName function="false" hidden="false" name="COLDVSNA_TARIFF_E_COLDVSNA_NUM_CS_COLUMN_MARKER" vbProcedure="false">'ХВС. Т-подкл'!$G$44</definedName>
    <definedName function="false" hidden="false" name="COLDVSNA_TARIFF_E_COLDVSNA_NUM_DATA_DIFF_COLUMN_MARKER" vbProcedure="false">'ХВС. Т-подкл'!$K$44</definedName>
    <definedName function="false" hidden="false" name="COLDVSNA_TARIFF_E_COLDVSNA_NUM_DIAMETERS_COLUMN_MARKER" vbProcedure="false">'ХВС. Т-подкл'!$AJ$38</definedName>
    <definedName function="false" hidden="false" name="COLDVSNA_TARIFF_E_COLDVSNA_NUM_FLAG_DIFF_COLUMN_MARKER" vbProcedure="false">'ХВС. Т-подкл'!$I$44</definedName>
    <definedName function="false" hidden="false" name="COLDVSNA_TARIFF_E_COLDVSNA_NUM_GC_COLUMN_MARKER" vbProcedure="false">'ХВС. Т-подкл'!$J$44</definedName>
    <definedName function="false" hidden="false" name="COLDVSNA_TARIFF_E_COLDVSNA_NUM_LEN_COLUMN_MARKER" vbProcedure="false">'ХВС. Т-подкл'!$AN$38</definedName>
    <definedName function="false" hidden="false" name="COLDVSNA_TARIFF_E_COLDVSNA_NUM_LOAD_COLUMN_MARKER" vbProcedure="false">'ХВС. Т-подкл'!$AF$38</definedName>
    <definedName function="false" hidden="false" name="COLDVSNA_TARIFF_E_COLDVSNA_NUM_NETS_COLUMN_MARKER" vbProcedure="false">'ХВС. Т-подкл'!$AR$38</definedName>
    <definedName function="false" hidden="false" name="COLDVSNA_TARIFF_E_COLDVSNA_NUM_NTAR_COLUMN_MARKER" vbProcedure="false">'ХВС. Т-подкл'!$E$44</definedName>
    <definedName function="false" hidden="false" name="COLDVSNA_TARIFF_E_COLDVSNA_NUM_TER_COLUMN_MARKER" vbProcedure="false">'ХВС. Т-подкл'!$F$44</definedName>
    <definedName function="false" hidden="false" name="cross_without_borders" vbProcedure="false">TEHSHEET!$J$27</definedName>
    <definedName function="false" hidden="false" name="CS_ID" vbProcedure="false">TEHSHEET!$E$63</definedName>
    <definedName function="false" hidden="false" name="CURRENT_DATE" vbProcedure="false">TEHSHEET!$H$29</definedName>
    <definedName function="false" hidden="false" name="CURRENT_YEAR" vbProcedure="false">TEHSHEET!$G$44</definedName>
    <definedName function="false" hidden="false" name="DATA_URL" vbProcedure="false">TEHSHEET!$H$32</definedName>
    <definedName function="false" hidden="false" name="DESCRIPTION_TERRITORY" vbProcedure="false">REESTR_DS!$B$2</definedName>
    <definedName function="false" hidden="false" name="DIFFERENTIATION_AREA" vbProcedure="false">Дифференциация!$I$12:$I$16</definedName>
    <definedName function="false" hidden="false" name="DIFFERENTIATION_AREA_ID" vbProcedure="false">Дифференциация!$U$11:$U$17</definedName>
    <definedName function="false" hidden="false" name="DIFFERENTIATION_CheckC" vbProcedure="false">Дифференциация!$D$12:$M$16</definedName>
    <definedName function="false" hidden="false" name="DIFFERENTIATION_fieldMarker" vbProcedure="false">Дифференциация!$W$12:$W$16</definedName>
    <definedName function="false" hidden="false" name="DIFFERENTIATION_ID" vbProcedure="false">TEHSHEET!$E$57</definedName>
    <definedName function="false" hidden="false" name="DIFFERENTIATION_ID_DIFF" vbProcedure="false">Дифференциация!$O$12:$O$16</definedName>
    <definedName function="false" hidden="false" name="DIFFERENTIATION_SYSTEM" vbProcedure="false">Дифференциация!$M$12:$M$16</definedName>
    <definedName function="false" hidden="false" name="DIFFERENTIATION_TARIFF_AREA_ID" vbProcedure="false">'Перечень тарифов'!$Z$12:$Z$137</definedName>
    <definedName function="false" hidden="false" name="DIFFERENTIATION_TARIFF_VD_ID" vbProcedure="false">'Перечень тарифов'!$AB$12:$AB$137</definedName>
    <definedName function="false" hidden="false" name="DIFFERENTIATION_TARIFF_VTAR_ID" vbProcedure="false">'Перечень тарифов'!$AA$12:$AA$137</definedName>
    <definedName function="false" hidden="false" name="DIFFERENTIATION_TKO_ADD_HL_CLASS_TKO_COLUMN_MARKER" vbProcedure="false">'Дифференциация тариф показатель'!$AH$7</definedName>
    <definedName function="false" hidden="false" name="DIFFERENTIATION_TKO_ADD_HL_NTAR_COLUMN_MARKER" vbProcedure="false">'Дифференциация тариф показатель'!$J$7</definedName>
    <definedName function="false" hidden="false" name="DIFFERENTIATION_TKO_ADD_HL_TER_COLUMN_MARKER" vbProcedure="false">'Дифференциация тариф показатель'!$V$7</definedName>
    <definedName function="false" hidden="false" name="DIFFERENTIATION_TKO_ADD_HL_TO_COLUMN_MARKER" vbProcedure="false">'Дифференциация тариф показатель'!$P$7</definedName>
    <definedName function="false" hidden="false" name="DIFFERENTIATION_TKO_ADD_HL_TYPE_TKO_COLUMN_MARKER" vbProcedure="false">'Дифференциация тариф показатель'!$AB$7</definedName>
    <definedName function="false" hidden="false" name="DIFFERENTIATION_TKO_ADD_HL_VTAR_COLUMN_MARKER" vbProcedure="false">'Дифференциация тариф показатель'!$F$7</definedName>
    <definedName function="false" hidden="false" name="DIFFERENTIATION_TKO_AREA_ID" vbProcedure="false">'Дифференциация тариф показатель'!$AK$11:$AK$41</definedName>
    <definedName function="false" hidden="false" name="DIFFERENTIATION_TKO_DEL_HL_CLASS_TKO_COLUMN_MARKER" vbProcedure="false">'Дифференциация тариф показатель'!$AF$7</definedName>
    <definedName function="false" hidden="false" name="DIFFERENTIATION_TKO_DEL_HL_NTAR_COLUMN_MARKER" vbProcedure="false">'Дифференциация тариф показатель'!$H$7</definedName>
    <definedName function="false" hidden="false" name="DIFFERENTIATION_TKO_DEL_HL_TER_COLUMN_MARKER" vbProcedure="false">'Дифференциация тариф показатель'!$T$7</definedName>
    <definedName function="false" hidden="false" name="DIFFERENTIATION_TKO_DEL_HL_TO_COLUMN_MARKER" vbProcedure="false">'Дифференциация тариф показатель'!$N$7</definedName>
    <definedName function="false" hidden="false" name="DIFFERENTIATION_TKO_DEL_HL_TYPE_TKO_COLUMN_MARKER" vbProcedure="false">'Дифференциация тариф показатель'!$Z$7</definedName>
    <definedName function="false" hidden="false" name="DIFFERENTIATION_TKO_FLAG_DIFF_CLASS_TKO_ETC_COLUMN_MARKER" vbProcedure="false">'Дифференциация тариф показатель'!$AE$7</definedName>
    <definedName function="false" hidden="false" name="DIFFERENTIATION_TKO_FLAG_DIFF_CLASS_TKO_TARIFF_COLUMN_MARKER" vbProcedure="false">'Дифференциация тариф показатель'!$AD$7</definedName>
    <definedName function="false" hidden="false" name="DIFFERENTIATION_TKO_FLAG_DIFF_TER_ETC_COLUMN_MARKER" vbProcedure="false">'Дифференциация тариф показатель'!$S$7</definedName>
    <definedName function="false" hidden="false" name="DIFFERENTIATION_TKO_FLAG_DIFF_TER_TARIFF_COLUMN_MARKER" vbProcedure="false">'Дифференциация тариф показатель'!$R$7</definedName>
    <definedName function="false" hidden="false" name="DIFFERENTIATION_TKO_FLAG_DIFF_TO_ETC_COLUMN_MARKER" vbProcedure="false">'Дифференциация тариф показатель'!$M$7</definedName>
    <definedName function="false" hidden="false" name="DIFFERENTIATION_TKO_FLAG_DIFF_TO_TARIFF_COLUMN_MARKER" vbProcedure="false">'Дифференциация тариф показатель'!$L$7</definedName>
    <definedName function="false" hidden="false" name="DIFFERENTIATION_TKO_FLAG_DIFF_TYPE_TKO_ETC_COLUMN_MARKER" vbProcedure="false">'Дифференциация тариф показатель'!$Y$7</definedName>
    <definedName function="false" hidden="false" name="DIFFERENTIATION_TKO_FLAG_DIFF_TYPE_TKO_TARIFF_COLUMN_MARKER" vbProcedure="false">'Дифференциация тариф показатель'!$X$7</definedName>
    <definedName function="false" hidden="false" name="DIFFERENTIATION_TKO_FLAG_VTAR_COLUMN_MARKER" vbProcedure="false">'Дифференциация тариф показатель'!$G$7</definedName>
    <definedName function="false" hidden="false" name="DIFFERENTIATION_TKO_TER_ID" vbProcedure="false">'Дифференциация тариф показатель'!$AL$11:$AL$41</definedName>
    <definedName function="false" hidden="false" name="DIFFERENTIATION_UNMERGE_AREA" vbProcedure="false">Дифференциация!$Q$12:$Q$16</definedName>
    <definedName function="false" hidden="false" name="DIFFERENTIATION_UNMERGE_SYSTEM" vbProcedure="false">Дифференциация!$R$12:$R$16</definedName>
    <definedName function="false" hidden="false" name="DIFFERENTIATION_UNMERGE_VD" vbProcedure="false">Дифференциация!$P$12:$P$16</definedName>
    <definedName function="false" hidden="false" name="DIFFERENTIATION_VD" vbProcedure="false">Дифференциация!$E$12:$E$16</definedName>
    <definedName function="false" hidden="false" name="DIFFERENTIATION_VD_ID" vbProcedure="false">Дифференциация!$V$11:$V$17</definedName>
    <definedName function="false" hidden="false" name="ED_DATE" vbProcedure="false">ЭД!$G$12:$G$13</definedName>
    <definedName function="false" hidden="false" name="ED_DATE_PARKING" vbProcedure="false">ЭД!$I$5</definedName>
    <definedName function="false" hidden="false" name="ED_LINK" vbProcedure="false">ЭД!$H$12:$H$13</definedName>
    <definedName function="false" hidden="false" name="EndDateList" vbProcedure="false">TEHSHEET!$H$46:$H$53</definedName>
    <definedName function="false" hidden="false" name="et_B_FHD20_1" vbProcedure="false">et_union_hor!$115:$123</definedName>
    <definedName function="false" hidden="false" name="et_B_FHD20_1_HEAT" vbProcedure="false">et_union_hor!$127:$135</definedName>
    <definedName function="false" hidden="false" name="et_B_FHD20_1_NOT_HEAT" vbProcedure="false">et_union_hor!$115:$123</definedName>
    <definedName function="false" hidden="false" name="et_B_FHD20_2" vbProcedure="false">et_union_hor!$139:$142</definedName>
    <definedName function="false" hidden="false" name="et_B_FHD20_3" vbProcedure="false">et_union_hor!$147:$148</definedName>
    <definedName function="false" hidden="false" name="et_B_FHD20_4" vbProcedure="false">et_union_hor!$150:$150</definedName>
    <definedName function="false" hidden="false" name="et_B_STANDARTS" vbProcedure="false">'Стандарты качества'!$2:$2</definedName>
    <definedName function="false" hidden="false" name="et_CHANGE_INFO" vbProcedure="false">et_union_hor!$4:$4</definedName>
    <definedName function="false" hidden="false" name="et_COLDVSNA_TARIFF_A_COLDVSNA_CS" vbProcedure="false">'ХВС. Т-пит'!$4:$11</definedName>
    <definedName function="false" hidden="false" name="et_COLDVSNA_TARIFF_A_COLDVSNA_DATA_DIFF" vbProcedure="false">'ХВС. Т-пит'!$7:$8</definedName>
    <definedName function="false" hidden="false" name="et_COLDVSNA_TARIFF_A_COLDVSNA_FLAG_DIFF" vbProcedure="false">'ХВС. Т-пит'!$5:$10</definedName>
    <definedName function="false" hidden="false" name="et_COLDVSNA_TARIFF_A_COLDVSNA_GC" vbProcedure="false">'ХВС. Т-пит'!$6:$9</definedName>
    <definedName function="false" hidden="false" name="et_COLDVSNA_TARIFF_A_COLDVSNA_NTAR" vbProcedure="false">'ХВС. Т-пит'!$2:$13</definedName>
    <definedName function="false" hidden="false" name="et_COLDVSNA_TARIFF_A_COLDVSNA_PERIOD_COLOR" vbProcedure="false">'ХВС. Т-пит'!$AC$7:$AI$8</definedName>
    <definedName function="false" hidden="false" name="et_COLDVSNA_TARIFF_A_COLDVSNA_PERIOD_NOT_COLOR" vbProcedure="false">'ХВС. Т-пит'!$AC$15:$AI$16</definedName>
    <definedName function="false" hidden="false" name="et_COLDVSNA_TARIFF_A_COLDVSNA_TER" vbProcedure="false">'ХВС. Т-пит'!$3:$12</definedName>
    <definedName function="false" hidden="false" name="et_COLDVSNA_TARIFF_A_COLDVSNA_TN" vbProcedure="false">'ХВС. Т-пит'!$7:$8</definedName>
    <definedName function="false" hidden="false" name="et_COLDVSNA_TARIFF_B_COLDVSNA_CS" vbProcedure="false">'ХВС. Т-тех'!$4:$11</definedName>
    <definedName function="false" hidden="false" name="et_COLDVSNA_TARIFF_B_COLDVSNA_DATA_DIFF" vbProcedure="false">'ХВС. Т-тех'!$7:$8</definedName>
    <definedName function="false" hidden="false" name="et_COLDVSNA_TARIFF_B_COLDVSNA_FLAG_DIFF" vbProcedure="false">'ХВС. Т-тех'!$5:$10</definedName>
    <definedName function="false" hidden="false" name="et_COLDVSNA_TARIFF_B_COLDVSNA_GC" vbProcedure="false">'ХВС. Т-тех'!$6:$9</definedName>
    <definedName function="false" hidden="false" name="et_COLDVSNA_TARIFF_B_COLDVSNA_NTAR" vbProcedure="false">'ХВС. Т-тех'!$2:$13</definedName>
    <definedName function="false" hidden="false" name="et_COLDVSNA_TARIFF_B_COLDVSNA_PERIOD_COLOR" vbProcedure="false">'ХВС. Т-тех'!$AC$7:$AI$8</definedName>
    <definedName function="false" hidden="false" name="et_COLDVSNA_TARIFF_B_COLDVSNA_PERIOD_NOT_COLOR" vbProcedure="false">'ХВС. Т-тех'!$AC$15:$AI$16</definedName>
    <definedName function="false" hidden="false" name="et_COLDVSNA_TARIFF_B_COLDVSNA_TER" vbProcedure="false">'ХВС. Т-тех'!$3:$12</definedName>
    <definedName function="false" hidden="false" name="et_COLDVSNA_TARIFF_C_COLDVSNA_CS" vbProcedure="false">'ХВС. Т-транс'!$4:$11</definedName>
    <definedName function="false" hidden="false" name="et_COLDVSNA_TARIFF_C_COLDVSNA_DATA_DIFF" vbProcedure="false">'ХВС. Т-транс'!$7:$8</definedName>
    <definedName function="false" hidden="false" name="et_COLDVSNA_TARIFF_C_COLDVSNA_FLAG_DIFF" vbProcedure="false">'ХВС. Т-транс'!$5:$10</definedName>
    <definedName function="false" hidden="false" name="et_COLDVSNA_TARIFF_C_COLDVSNA_GC" vbProcedure="false">'ХВС. Т-транс'!$6:$9</definedName>
    <definedName function="false" hidden="false" name="et_COLDVSNA_TARIFF_C_COLDVSNA_NTAR" vbProcedure="false">'ХВС. Т-транс'!$2:$13</definedName>
    <definedName function="false" hidden="false" name="et_COLDVSNA_TARIFF_C_COLDVSNA_PERIOD_COLOR" vbProcedure="false">'ХВС. Т-транс'!$AC$7:$AI$8</definedName>
    <definedName function="false" hidden="false" name="et_COLDVSNA_TARIFF_C_COLDVSNA_PERIOD_NOT_COLOR" vbProcedure="false">'ХВС. Т-транс'!$AC$15:$AI$16</definedName>
    <definedName function="false" hidden="false" name="et_COLDVSNA_TARIFF_C_COLDVSNA_TER" vbProcedure="false">'ХВС. Т-транс'!$3:$12</definedName>
    <definedName function="false" hidden="false" name="et_COLDVSNA_TARIFF_D_COLDVSNA_CS" vbProcedure="false">'ХВС. Т-подвоз'!$4:$11</definedName>
    <definedName function="false" hidden="false" name="et_COLDVSNA_TARIFF_D_COLDVSNA_DATA_DIFF" vbProcedure="false">'ХВС. Т-подвоз'!$7:$8</definedName>
    <definedName function="false" hidden="false" name="et_COLDVSNA_TARIFF_D_COLDVSNA_FLAG_DIFF" vbProcedure="false">'ХВС. Т-подвоз'!$5:$10</definedName>
    <definedName function="false" hidden="false" name="et_COLDVSNA_TARIFF_D_COLDVSNA_GC" vbProcedure="false">'ХВС. Т-подвоз'!$6:$9</definedName>
    <definedName function="false" hidden="false" name="et_COLDVSNA_TARIFF_D_COLDVSNA_NTAR" vbProcedure="false">'ХВС. Т-подвоз'!$2:$13</definedName>
    <definedName function="false" hidden="false" name="et_COLDVSNA_TARIFF_D_COLDVSNA_PERIOD_COLOR" vbProcedure="false">'ХВС. Т-подвоз'!$AC$7:$AI$8</definedName>
    <definedName function="false" hidden="false" name="et_COLDVSNA_TARIFF_D_COLDVSNA_PERIOD_NOT_COLOR" vbProcedure="false">'ХВС. Т-подвоз'!$AC$15:$AI$16</definedName>
    <definedName function="false" hidden="false" name="et_COLDVSNA_TARIFF_D_COLDVSNA_TER" vbProcedure="false">'ХВС. Т-подвоз'!$3:$12</definedName>
    <definedName function="false" hidden="false" name="et_COLDVSNA_TARIFF_E_COLDVSNA_CS" vbProcedure="false">'ХВС. Т-подкл'!$4:$16</definedName>
    <definedName function="false" hidden="false" name="et_COLDVSNA_TARIFF_E_COLDVSNA_DATA_DIFF" vbProcedure="false">'ХВС. Т-подкл'!$8:$12</definedName>
    <definedName function="false" hidden="false" name="et_COLDVSNA_TARIFF_E_COLDVSNA_DIAMETERS" vbProcedure="false">'ХВС. Т-подкл'!$8:$10</definedName>
    <definedName function="false" hidden="false" name="et_COLDVSNA_TARIFF_E_COLDVSNA_FLAG_DIFF" vbProcedure="false">'ХВС. Т-подкл'!$6:$14</definedName>
    <definedName function="false" hidden="false" name="et_COLDVSNA_TARIFF_E_COLDVSNA_GC" vbProcedure="false">'ХВС. Т-подкл'!$7:$13</definedName>
    <definedName function="false" hidden="false" name="et_COLDVSNA_TARIFF_E_COLDVSNA_LEN" vbProcedure="false">'ХВС. Т-подкл'!$8:$9</definedName>
    <definedName function="false" hidden="false" name="et_COLDVSNA_TARIFF_E_COLDVSNA_LOAD" vbProcedure="false">'ХВС. Т-подкл'!$8:$11</definedName>
    <definedName function="false" hidden="false" name="et_COLDVSNA_TARIFF_E_COLDVSNA_NETS" vbProcedure="false">'ХВС. Т-подкл'!$8:$8</definedName>
    <definedName function="false" hidden="false" name="et_COLDVSNA_TARIFF_E_COLDVSNA_NTAR" vbProcedure="false">'ХВС. Т-подкл'!$2:$18</definedName>
    <definedName function="false" hidden="false" name="et_COLDVSNA_TARIFF_E_COLDVSNA_PERIOD_COLOR" vbProcedure="false">'ХВС. Т-подкл'!$AT$8:$BA$8</definedName>
    <definedName function="false" hidden="false" name="et_COLDVSNA_TARIFF_E_COLDVSNA_PERIOD_NOT_COLOR" vbProcedure="false">'ХВС. Т-подкл'!$AT$20:$BA$20</definedName>
    <definedName function="false" hidden="false" name="et_COLDVSNA_TARIFF_E_COLDVSNA_TER" vbProcedure="false">'ХВС. Т-подкл'!$3:$17</definedName>
    <definedName function="false" hidden="false" name="et_Comm" vbProcedure="false">et_union_hor!$8:$8</definedName>
    <definedName function="false" hidden="false" name="et_DIFFERENTIATION_AREA" vbProcedure="false">et_union_hor!$29:$30</definedName>
    <definedName function="false" hidden="false" name="et_DIFFERENTIATION_SYSTEM" vbProcedure="false">et_union_hor!$34:$34</definedName>
    <definedName function="false" hidden="false" name="et_DIFFERENTIATION_TARIFF_COLOR" vbProcedure="false">et_union_hor!$H$154:$W$158</definedName>
    <definedName function="false" hidden="false" name="et_DIFFERENTIATION_TARIFF_CS" vbProcedure="false">et_union_hor!$169:$170</definedName>
    <definedName function="false" hidden="false" name="et_DIFFERENTIATION_TARIFF_IST_TE" vbProcedure="false">et_union_hor!$172:$172</definedName>
    <definedName function="false" hidden="false" name="et_DIFFERENTIATION_TARIFF_NOT_COLOR" vbProcedure="false">et_union_hor!$H$194:$W$198</definedName>
    <definedName function="false" hidden="false" name="et_DIFFERENTIATION_TARIFF_NOT_HEAT_COLOR" vbProcedure="false">et_union_hor!$H$176:$W$180</definedName>
    <definedName function="false" hidden="false" name="et_DIFFERENTIATION_TARIFF_NOT_HEAT_CS" vbProcedure="false">et_union_hor!$191:$192</definedName>
    <definedName function="false" hidden="false" name="et_DIFFERENTIATION_TARIFF_NOT_HEAT_NTAR" vbProcedure="false">et_union_hor!$182:$185</definedName>
    <definedName function="false" hidden="false" name="et_DIFFERENTIATION_TARIFF_NOT_HEAT_TER" vbProcedure="false">et_union_hor!$187:$189</definedName>
    <definedName function="false" hidden="false" name="et_DIFFERENTIATION_TARIFF_NOT_HEAT_VTAR" vbProcedure="false">et_union_hor!$176:$180</definedName>
    <definedName function="false" hidden="false" name="et_DIFFERENTIATION_TARIFF_NTAR" vbProcedure="false">et_union_hor!$160:$163</definedName>
    <definedName function="false" hidden="false" name="et_DIFFERENTIATION_TARIFF_TER" vbProcedure="false">et_union_hor!$165:$167</definedName>
    <definedName function="false" hidden="false" name="et_DIFFERENTIATION_TARIFF_VTAR" vbProcedure="false">et_union_hor!$154:$158</definedName>
    <definedName function="false" hidden="false" name="et_DIFFERENTIATION_TKO_CLASS_TKO" vbProcedure="false">et_union_hor!$202:$202</definedName>
    <definedName function="false" hidden="false" name="et_DIFFERENTIATION_TKO_COLOR" vbProcedure="false">et_union_hor!$H$202:$AI$207</definedName>
    <definedName function="false" hidden="false" name="et_DIFFERENTIATION_TKO_NOT_COLOR" vbProcedure="false">et_union_hor!$H$209:$AI$214</definedName>
    <definedName function="false" hidden="false" name="et_DIFFERENTIATION_TKO_NTAR" vbProcedure="false">et_union_hor!$202:$206</definedName>
    <definedName function="false" hidden="false" name="et_DIFFERENTIATION_TKO_TER" vbProcedure="false">et_union_hor!$202:$204</definedName>
    <definedName function="false" hidden="false" name="et_DIFFERENTIATION_TKO_TO" vbProcedure="false">et_union_hor!$202:$205</definedName>
    <definedName function="false" hidden="false" name="et_DIFFERENTIATION_TKO_TYPE_TKO" vbProcedure="false">et_union_hor!$202:$203</definedName>
    <definedName function="false" hidden="false" name="et_DIFFERENTIATION_TKO_VTAR" vbProcedure="false">et_union_hor!$202:$207</definedName>
    <definedName function="false" hidden="false" name="et_DIFFERENTIATION_VD" vbProcedure="false">et_union_hor!$23:$25</definedName>
    <definedName function="false" hidden="false" name="et_ED" vbProcedure="false">et_union_hor!$64:$64</definedName>
    <definedName function="false" hidden="false" name="et_HEAT_TARIFF_A_CS" vbProcedure="false">'ТС. Т-ТЭ | &gt;=25МВт'!$4:$13</definedName>
    <definedName function="false" hidden="false" name="et_HEAT_TARIFF_A_GC" vbProcedure="false">'ТС. Т-ТЭ | &gt;=25МВт'!$7:$10</definedName>
    <definedName function="false" hidden="false" name="et_HEAT_TARIFF_A_IST_TE" vbProcedure="false">'ТС. Т-ТЭ | &gt;=25МВт'!$5:$12</definedName>
    <definedName function="false" hidden="false" name="et_HEAT_TARIFF_A_NTAR" vbProcedure="false">'ТС. Т-ТЭ | &gt;=25МВт'!$2:$15</definedName>
    <definedName function="false" hidden="false" name="et_HEAT_TARIFF_A_PERIOD_COLOR" vbProcedure="false">'ТС. Т-ТЭ | &gt;=25МВт'!$AD$8:$AK$9</definedName>
    <definedName function="false" hidden="false" name="et_HEAT_TARIFF_A_PERIOD_NOT_COLOR" vbProcedure="false">'ТС. Т-ТЭ | &gt;=25МВт'!$AD$17:$AK$18</definedName>
    <definedName function="false" hidden="false" name="et_HEAT_TARIFF_A_SCHEME" vbProcedure="false">'ТС. Т-ТЭ | &gt;=25МВт'!$6:$11</definedName>
    <definedName function="false" hidden="false" name="et_HEAT_TARIFF_A_TER" vbProcedure="false">'ТС. Т-ТЭ | &gt;=25МВт'!$3:$14</definedName>
    <definedName function="false" hidden="false" name="et_HEAT_TARIFF_A_TN" vbProcedure="false">'ТС. Т-ТЭ | &gt;=25МВт'!$8:$9</definedName>
    <definedName function="false" hidden="false" name="et_HEAT_TARIFF_B_CS" vbProcedure="false">'ТС. Т-ТЭ | ТСО'!$4:$13</definedName>
    <definedName function="false" hidden="false" name="et_HEAT_TARIFF_B_GC" vbProcedure="false">'ТС. Т-ТЭ | ТСО'!$7:$10</definedName>
    <definedName function="false" hidden="false" name="et_HEAT_TARIFF_B_IST_TE" vbProcedure="false">'ТС. Т-ТЭ | ТСО'!$5:$12</definedName>
    <definedName function="false" hidden="false" name="et_HEAT_TARIFF_B_NTAR" vbProcedure="false">'ТС. Т-ТЭ | ТСО'!$2:$15</definedName>
    <definedName function="false" hidden="false" name="et_HEAT_TARIFF_B_PERIOD_COLOR" vbProcedure="false">'ТС. Т-ТЭ | ТСО'!$AD$8:$AK$9</definedName>
    <definedName function="false" hidden="false" name="et_HEAT_TARIFF_B_PERIOD_NOT_COLOR" vbProcedure="false">'ТС. Т-ТЭ | ТСО'!$AD$17:$AK$18</definedName>
    <definedName function="false" hidden="false" name="et_HEAT_TARIFF_B_SCHEME" vbProcedure="false">'ТС. Т-ТЭ | ТСО'!$6:$11</definedName>
    <definedName function="false" hidden="false" name="et_HEAT_TARIFF_B_TER" vbProcedure="false">'ТС. Т-ТЭ | ТСО'!$3:$14</definedName>
    <definedName function="false" hidden="false" name="et_HEAT_TARIFF_B_TN" vbProcedure="false">'ТС. Т-ТЭ | ТСО'!$8:$9</definedName>
    <definedName function="false" hidden="false" name="et_HEAT_TARIFF_C_CS" vbProcedure="false">'ТС. Т-ТН'!$4:$13</definedName>
    <definedName function="false" hidden="false" name="et_HEAT_TARIFF_C_GC" vbProcedure="false">'ТС. Т-ТН'!$7:$10</definedName>
    <definedName function="false" hidden="false" name="et_HEAT_TARIFF_C_IST_TE" vbProcedure="false">'ТС. Т-ТН'!$5:$12</definedName>
    <definedName function="false" hidden="false" name="et_HEAT_TARIFF_C_NTAR" vbProcedure="false">'ТС. Т-ТН'!$2:$15</definedName>
    <definedName function="false" hidden="false" name="et_HEAT_TARIFF_C_PERIOD_COLOR" vbProcedure="false">'ТС. Т-ТН'!$AD$8:$AK$9</definedName>
    <definedName function="false" hidden="false" name="et_HEAT_TARIFF_C_PERIOD_NOT_COLOR" vbProcedure="false">'ТС. Т-ТН'!$AD$17:$AK$18</definedName>
    <definedName function="false" hidden="false" name="et_HEAT_TARIFF_C_SCHEME" vbProcedure="false">'ТС. Т-ТН'!$6:$11</definedName>
    <definedName function="false" hidden="false" name="et_HEAT_TARIFF_C_TER" vbProcedure="false">'ТС. Т-ТН'!$3:$14</definedName>
    <definedName function="false" hidden="false" name="et_HEAT_TARIFF_C_TN" vbProcedure="false">'ТС. Т-ТН'!$8:$9</definedName>
    <definedName function="false" hidden="false" name="et_HEAT_TARIFF_D_CONS" vbProcedure="false">'ТС. Т-гор.вода'!$9:$10</definedName>
    <definedName function="false" hidden="false" name="et_HEAT_TARIFF_D_CS" vbProcedure="false">'ТС. Т-гор.вода'!$4:$15</definedName>
    <definedName function="false" hidden="false" name="et_HEAT_TARIFF_D_GC" vbProcedure="false">'ТС. Т-гор.вода'!$7:$12</definedName>
    <definedName function="false" hidden="false" name="et_HEAT_TARIFF_D_IST_TE" vbProcedure="false">'ТС. Т-гор.вода'!$5:$14</definedName>
    <definedName function="false" hidden="false" name="et_HEAT_TARIFF_D_NTAR" vbProcedure="false">'ТС. Т-гор.вода'!$2:$17</definedName>
    <definedName function="false" hidden="false" name="et_HEAT_TARIFF_D_PERIOD_COLOR" vbProcedure="false">'ТС. Т-гор.вода'!$AG$8:$AO$10</definedName>
    <definedName function="false" hidden="false" name="et_HEAT_TARIFF_D_PERIOD_NOT_COLOR" vbProcedure="false">'ТС. Т-гор.вода'!$AG$19:$AO$22</definedName>
    <definedName function="false" hidden="false" name="et_HEAT_TARIFF_D_SCHEME" vbProcedure="false">'ТС. Т-гор.вода'!$6:$13</definedName>
    <definedName function="false" hidden="false" name="et_HEAT_TARIFF_D_TER" vbProcedure="false">'ТС. Т-гор.вода'!$3:$16</definedName>
    <definedName function="false" hidden="false" name="et_HEAT_TARIFF_D_TN" vbProcedure="false">'ТС. Т-гор.вода'!$8:$11</definedName>
    <definedName function="false" hidden="false" name="et_HEAT_TARIFF_E1_CS" vbProcedure="false">'ТС. Т-передача ТЭ'!$4:$13</definedName>
    <definedName function="false" hidden="false" name="et_HEAT_TARIFF_E1_GC" vbProcedure="false">'ТС. Т-передача ТЭ'!$7:$10</definedName>
    <definedName function="false" hidden="false" name="et_HEAT_TARIFF_E1_IST_TE" vbProcedure="false">'ТС. Т-передача ТЭ'!$5:$12</definedName>
    <definedName function="false" hidden="false" name="et_HEAT_TARIFF_E1_NTAR" vbProcedure="false">'ТС. Т-передача ТЭ'!$2:$15</definedName>
    <definedName function="false" hidden="false" name="et_HEAT_TARIFF_E1_PERIOD_COLOR" vbProcedure="false">'ТС. Т-передача ТЭ'!$AD$8:$AK$9</definedName>
    <definedName function="false" hidden="false" name="et_HEAT_TARIFF_E1_PERIOD_NOT_COLOR" vbProcedure="false">'ТС. Т-передача ТЭ'!$AD$17:$AK$18</definedName>
    <definedName function="false" hidden="false" name="et_HEAT_TARIFF_E1_SCHEME" vbProcedure="false">'ТС. Т-передача ТЭ'!$6:$11</definedName>
    <definedName function="false" hidden="false" name="et_HEAT_TARIFF_E1_TER" vbProcedure="false">'ТС. Т-передача ТЭ'!$3:$14</definedName>
    <definedName function="false" hidden="false" name="et_HEAT_TARIFF_E1_TN" vbProcedure="false">'ТС. Т-передача ТЭ'!$8:$9</definedName>
    <definedName function="false" hidden="false" name="et_HEAT_TARIFF_E2_CS" vbProcedure="false">'ТС. Т-передача ТН'!$4:$13</definedName>
    <definedName function="false" hidden="false" name="et_HEAT_TARIFF_E2_GC" vbProcedure="false">'ТС. Т-передача ТН'!$7:$10</definedName>
    <definedName function="false" hidden="false" name="et_HEAT_TARIFF_E2_IST_TE" vbProcedure="false">'ТС. Т-передача ТН'!$5:$12</definedName>
    <definedName function="false" hidden="false" name="et_HEAT_TARIFF_E2_NTAR" vbProcedure="false">'ТС. Т-передача ТН'!$2:$15</definedName>
    <definedName function="false" hidden="false" name="et_HEAT_TARIFF_E2_PERIOD_COLOR" vbProcedure="false">'ТС. Т-передача ТН'!$AD$8:$AK$9</definedName>
    <definedName function="false" hidden="false" name="et_HEAT_TARIFF_E2_PERIOD_NOT_COLOR" vbProcedure="false">'ТС. Т-передача ТН'!$AD$17:$AK$18</definedName>
    <definedName function="false" hidden="false" name="et_HEAT_TARIFF_E2_SCHEME" vbProcedure="false">'ТС. Т-передача ТН'!$6:$11</definedName>
    <definedName function="false" hidden="false" name="et_HEAT_TARIFF_E2_TER" vbProcedure="false">'ТС. Т-передача ТН'!$3:$14</definedName>
    <definedName function="false" hidden="false" name="et_HEAT_TARIFF_E2_TN" vbProcedure="false">'ТС. Т-передача ТН'!$8:$9</definedName>
    <definedName function="false" hidden="false" name="et_HEAT_TARIFF_F_CS" vbProcedure="false">'ТС. Резерв мощности'!$4:$13</definedName>
    <definedName function="false" hidden="false" name="et_HEAT_TARIFF_F_GC" vbProcedure="false">'ТС. Резерв мощности'!$7:$10</definedName>
    <definedName function="false" hidden="false" name="et_HEAT_TARIFF_F_IST_TE" vbProcedure="false">'ТС. Резерв мощности'!$5:$12</definedName>
    <definedName function="false" hidden="false" name="et_HEAT_TARIFF_F_NTAR" vbProcedure="false">'ТС. Резерв мощности'!$2:$15</definedName>
    <definedName function="false" hidden="false" name="et_HEAT_TARIFF_F_PERIOD_COLOR" vbProcedure="false">'ТС. Резерв мощности'!$AD$8:$AK$9</definedName>
    <definedName function="false" hidden="false" name="et_HEAT_TARIFF_F_PERIOD_NOT_COLOR" vbProcedure="false">'ТС. Резерв мощности'!$AD$17:$AK$18</definedName>
    <definedName function="false" hidden="false" name="et_HEAT_TARIFF_F_SCHEME" vbProcedure="false">'ТС. Резерв мощности'!$6:$11</definedName>
    <definedName function="false" hidden="false" name="et_HEAT_TARIFF_F_TER" vbProcedure="false">'ТС. Резерв мощности'!$3:$14</definedName>
    <definedName function="false" hidden="false" name="et_HEAT_TARIFF_F_TN" vbProcedure="false">'ТС. Резерв мощности'!$8:$9</definedName>
    <definedName function="false" hidden="false" name="et_HEAT_TARIFF_G_CS" vbProcedure="false">'ТС. Т-подкл'!$4:$15</definedName>
    <definedName function="false" hidden="false" name="et_HEAT_TARIFF_G_DIAMETERS" vbProcedure="false">'ТС. Т-подкл'!$8:$8</definedName>
    <definedName function="false" hidden="false" name="et_HEAT_TARIFF_G_GC" vbProcedure="false">'ТС. Т-подкл'!$7:$12</definedName>
    <definedName function="false" hidden="false" name="et_HEAT_TARIFF_G_IST_TE" vbProcedure="false">'ТС. Т-подкл'!$5:$14</definedName>
    <definedName function="false" hidden="false" name="et_HEAT_TARIFF_G_LOAD" vbProcedure="false">'ТС. Т-подкл'!$8:$10</definedName>
    <definedName function="false" hidden="false" name="et_HEAT_TARIFF_G_NETS" vbProcedure="false">'ТС. Т-подкл'!$8:$9</definedName>
    <definedName function="false" hidden="false" name="et_HEAT_TARIFF_G_NTAR" vbProcedure="false">'ТС. Т-подкл'!$2:$17</definedName>
    <definedName function="false" hidden="false" name="et_HEAT_TARIFF_G_PERIOD_COLOR" vbProcedure="false">'ТС. Т-подкл'!$AN$8:$AS$8</definedName>
    <definedName function="false" hidden="false" name="et_HEAT_TARIFF_G_PERIOD_NOT_COLOR" vbProcedure="false">'ТС. Т-подкл'!$AN$19:$AS$19</definedName>
    <definedName function="false" hidden="false" name="et_HEAT_TARIFF_G_SCHEME" vbProcedure="false">'ТС. Т-подкл'!$6:$13</definedName>
    <definedName function="false" hidden="false" name="et_HEAT_TARIFF_G_TER" vbProcedure="false">'ТС. Т-подкл'!$3:$16</definedName>
    <definedName function="false" hidden="false" name="et_HEAT_TARIFF_G_TN" vbProcedure="false">'ТС. Т-подкл'!$8:$11</definedName>
    <definedName function="false" hidden="false" name="et_HEAT_TARIFF_H_CS" vbProcedure="false">'ТС. Т-подкл(инд)'!$4:$12</definedName>
    <definedName function="false" hidden="false" name="et_HEAT_TARIFF_H_DIAMETERS" vbProcedure="false">'ТС. Т-подкл(инд)'!$8:$8</definedName>
    <definedName function="false" hidden="false" name="et_HEAT_TARIFF_H_GC" vbProcedure="false">'ТС. Т-подкл(инд)'!$7:$9</definedName>
    <definedName function="false" hidden="false" name="et_HEAT_TARIFF_H_IST_TE" vbProcedure="false">'ТС. Т-подкл(инд)'!$5:$11</definedName>
    <definedName function="false" hidden="false" name="et_HEAT_TARIFF_H_LOAD" vbProcedure="false">'ТС. Т-подкл(инд)'!$8:$8</definedName>
    <definedName function="false" hidden="false" name="et_HEAT_TARIFF_H_NETS" vbProcedure="false">'ТС. Т-подкл(инд)'!$8:$8</definedName>
    <definedName function="false" hidden="false" name="et_HEAT_TARIFF_H_NTAR" vbProcedure="false">'ТС. Т-подкл(инд)'!$2:$14</definedName>
    <definedName function="false" hidden="false" name="et_HEAT_TARIFF_H_PERIOD_COLOR" vbProcedure="false">'ТС. Т-подкл(инд)'!$AD$8:$AI$8</definedName>
    <definedName function="false" hidden="false" name="et_HEAT_TARIFF_H_PERIOD_NOT_COLOR" vbProcedure="false">'ТС. Т-подкл(инд)'!$AD$16:$AI$16</definedName>
    <definedName function="false" hidden="false" name="et_HEAT_TARIFF_H_SCHEME" vbProcedure="false">'ТС. Т-подкл(инд)'!$6:$10</definedName>
    <definedName function="false" hidden="false" name="et_HEAT_TARIFF_H_TER" vbProcedure="false">'ТС. Т-подкл(инд)'!$3:$13</definedName>
    <definedName function="false" hidden="false" name="et_HEAT_TARIFF_H_TN" vbProcedure="false">'ТС. Т-подкл(инд)'!$8:$8</definedName>
    <definedName function="false" hidden="false" name="et_HEAT_TARIFF_I_1_CS" vbProcedure="false">'ТС. Т-ТЭ | индикат'!$4:$13</definedName>
    <definedName function="false" hidden="false" name="et_HEAT_TARIFF_I_1_GC" vbProcedure="false">'ТС. Т-ТЭ | индикат'!$7:$10</definedName>
    <definedName function="false" hidden="false" name="et_HEAT_TARIFF_I_1_IST_TE" vbProcedure="false">'ТС. Т-ТЭ | индикат'!$5:$12</definedName>
    <definedName function="false" hidden="false" name="et_HEAT_TARIFF_I_1_NTAR" vbProcedure="false">'ТС. Т-ТЭ | индикат'!$2:$15</definedName>
    <definedName function="false" hidden="false" name="et_HEAT_TARIFF_I_1_PERIOD_COLOR" vbProcedure="false">'ТС. Т-ТЭ | индикат'!$AD$8:$AK$9</definedName>
    <definedName function="false" hidden="false" name="et_HEAT_TARIFF_I_1_PERIOD_NOT_COLOR" vbProcedure="false">'ТС. Т-ТЭ | индикат'!$AD$17:$AK$18</definedName>
    <definedName function="false" hidden="false" name="et_HEAT_TARIFF_I_1_SCHEME" vbProcedure="false">'ТС. Т-ТЭ | индикат'!$6:$11</definedName>
    <definedName function="false" hidden="false" name="et_HEAT_TARIFF_I_1_TER" vbProcedure="false">'ТС. Т-ТЭ | индикат'!$3:$14</definedName>
    <definedName function="false" hidden="false" name="et_HEAT_TARIFF_I_1_TN" vbProcedure="false">'ТС. Т-ТЭ | индикат'!$8:$9</definedName>
    <definedName function="false" hidden="false" name="et_HEAT_TARIFF_I_CS" vbProcedure="false">'ТС. Т-ТЭ | предел'!$4:$13</definedName>
    <definedName function="false" hidden="false" name="et_HEAT_TARIFF_I_GC" vbProcedure="false">'ТС. Т-ТЭ | предел'!$7:$10</definedName>
    <definedName function="false" hidden="false" name="et_HEAT_TARIFF_I_IST_TE" vbProcedure="false">'ТС. Т-ТЭ | предел'!$5:$12</definedName>
    <definedName function="false" hidden="false" name="et_HEAT_TARIFF_I_NTAR" vbProcedure="false">'ТС. Т-ТЭ | предел'!$2:$15</definedName>
    <definedName function="false" hidden="false" name="et_HEAT_TARIFF_I_PERIOD_COLOR" vbProcedure="false">'ТС. Т-ТЭ | предел'!$AD$8:$AK$9</definedName>
    <definedName function="false" hidden="false" name="et_HEAT_TARIFF_I_PERIOD_NOT_COLOR" vbProcedure="false">'ТС. Т-ТЭ | предел'!$AD$17:$AK$18</definedName>
    <definedName function="false" hidden="false" name="et_HEAT_TARIFF_I_SCHEME" vbProcedure="false">'ТС. Т-ТЭ | предел'!$6:$11</definedName>
    <definedName function="false" hidden="false" name="et_HEAT_TARIFF_I_TER" vbProcedure="false">'ТС. Т-ТЭ | предел'!$3:$14</definedName>
    <definedName function="false" hidden="false" name="et_HEAT_TARIFF_I_TN" vbProcedure="false">'ТС. Т-ТЭ | предел'!$8:$9</definedName>
    <definedName function="false" hidden="false" name="et_hor_B_FHD_1" vbProcedure="false">'Показатели ФХД'!$2:$7</definedName>
    <definedName function="false" hidden="false" name="et_hor_B_FHD_2" vbProcedure="false">'Показатели ФХД'!$9:$9</definedName>
    <definedName function="false" hidden="false" name="et_hor_B_FHD_3" vbProcedure="false">'Показатели ФХД'!$11:$11</definedName>
    <definedName function="false" hidden="false" name="et_hor_B_FHD_4" vbProcedure="false">'Показатели ФХД'!$13:$13</definedName>
    <definedName function="false" hidden="false" name="et_hor_B_FHD_5" vbProcedure="false">'Показатели ФХД'!$15:$15</definedName>
    <definedName function="false" hidden="false" name="et_hor_B_FHD_6" vbProcedure="false">'Показатели ФХД'!$17:$17</definedName>
    <definedName function="false" hidden="false" name="et_hor_B_FHD_TKO_2" vbProcedure="false">'ТКО. Показатели ФХД'!$2:$2</definedName>
    <definedName function="false" hidden="false" name="et_hor_B_FHD_TKO_TRANS_2" vbProcedure="false">'ТКО. Транс. Показатели ФХД'!$2:$2</definedName>
    <definedName function="false" hidden="false" name="et_hor_B_OTEP_2" vbProcedure="false">'Показатели ОТЭП'!$2:$2</definedName>
    <definedName function="false" hidden="false" name="et_hor_Q_LIMIT_1" vbProcedure="false">Ограничения!$3:$4</definedName>
    <definedName function="false" hidden="false" name="et_hor_Q_LIMIT_2" vbProcedure="false">Ограничения!$6:$7</definedName>
    <definedName function="false" hidden="false" name="et_hor_Q_LIMIT_3" vbProcedure="false">Ограничения!$9:$11</definedName>
    <definedName function="false" hidden="false" name="et_hor_Q_LIMIT_4" vbProcedure="false">Ограничения!$13:$14</definedName>
    <definedName function="false" hidden="false" name="et_hor_Q_TP_1" vbProcedure="false">ТП!$2:$2</definedName>
    <definedName function="false" hidden="false" name="et_HOTVSNA_TARIFF_A_HOTVSNA_CS" vbProcedure="false">'ГВС. Т-гор.вода'!$4:$11</definedName>
    <definedName function="false" hidden="false" name="et_HOTVSNA_TARIFF_A_HOTVSNA_DATA_DIFF" vbProcedure="false">'ГВС. Т-гор.вода'!$7:$8</definedName>
    <definedName function="false" hidden="false" name="et_HOTVSNA_TARIFF_A_HOTVSNA_FLAG_DIFF" vbProcedure="false">'ГВС. Т-гор.вода'!$5:$10</definedName>
    <definedName function="false" hidden="false" name="et_HOTVSNA_TARIFF_A_HOTVSNA_GC" vbProcedure="false">'ГВС. Т-гор.вода'!$6:$9</definedName>
    <definedName function="false" hidden="false" name="et_HOTVSNA_TARIFF_A_HOTVSNA_NTAR" vbProcedure="false">'ГВС. Т-гор.вода'!$2:$13</definedName>
    <definedName function="false" hidden="false" name="et_HOTVSNA_TARIFF_A_HOTVSNA_PERIOD_COLOR" vbProcedure="false">'ГВС. Т-гор.вода'!$AG$7:$AQ$8</definedName>
    <definedName function="false" hidden="false" name="et_HOTVSNA_TARIFF_A_HOTVSNA_PERIOD_NOT_COLOR" vbProcedure="false">'ГВС. Т-гор.вода'!$AG$15:$AQ$16</definedName>
    <definedName function="false" hidden="false" name="et_HOTVSNA_TARIFF_A_HOTVSNA_TER" vbProcedure="false">'ГВС. Т-гор.вода'!$3:$12</definedName>
    <definedName function="false" hidden="false" name="et_HOTVSNA_TARIFF_A_HOTVSNA_TN" vbProcedure="false">'ГВС. Т-гор.вода'!$7:$8</definedName>
    <definedName function="false" hidden="false" name="et_HOTVSNA_TARIFF_B_HOTVSNA_CS" vbProcedure="false">'ГВС. Т-транс'!$4:$11</definedName>
    <definedName function="false" hidden="false" name="et_HOTVSNA_TARIFF_B_HOTVSNA_DATA_DIFF" vbProcedure="false">'ГВС. Т-транс'!$7:$8</definedName>
    <definedName function="false" hidden="false" name="et_HOTVSNA_TARIFF_B_HOTVSNA_FLAG_DIFF" vbProcedure="false">'ГВС. Т-транс'!$5:$10</definedName>
    <definedName function="false" hidden="false" name="et_HOTVSNA_TARIFF_B_HOTVSNA_GC" vbProcedure="false">'ГВС. Т-транс'!$6:$9</definedName>
    <definedName function="false" hidden="false" name="et_HOTVSNA_TARIFF_B_HOTVSNA_NTAR" vbProcedure="false">'ГВС. Т-транс'!$2:$13</definedName>
    <definedName function="false" hidden="false" name="et_HOTVSNA_TARIFF_B_HOTVSNA_PERIOD_COLOR" vbProcedure="false">'ГВС. Т-транс'!$AG$7:$AQ$8</definedName>
    <definedName function="false" hidden="false" name="et_HOTVSNA_TARIFF_B_HOTVSNA_PERIOD_NOT_COLOR" vbProcedure="false">'ГВС. Т-транс'!$AG$15:$AQ$16</definedName>
    <definedName function="false" hidden="false" name="et_HOTVSNA_TARIFF_B_HOTVSNA_TER" vbProcedure="false">'ГВС. Т-транс'!$3:$12</definedName>
    <definedName function="false" hidden="false" name="et_HOTVSNA_TARIFF_B_HOTVSNA_TN" vbProcedure="false">'ГВС. Т-транс'!$7:$8</definedName>
    <definedName function="false" hidden="false" name="et_HOTVSNA_TARIFF_C_HOTVSNA_CS" vbProcedure="false">'ГВС. Т-подкл'!$4:$16</definedName>
    <definedName function="false" hidden="false" name="et_HOTVSNA_TARIFF_C_HOTVSNA_DATA_DIFF" vbProcedure="false">'ГВС. Т-подкл'!$8:$12</definedName>
    <definedName function="false" hidden="false" name="et_HOTVSNA_TARIFF_C_HOTVSNA_DIAMETERS" vbProcedure="false">'ГВС. Т-подкл'!$8:$10</definedName>
    <definedName function="false" hidden="false" name="et_HOTVSNA_TARIFF_C_HOTVSNA_FLAG_DIFF" vbProcedure="false">'ГВС. Т-подкл'!$6:$14</definedName>
    <definedName function="false" hidden="false" name="et_HOTVSNA_TARIFF_C_HOTVSNA_GC" vbProcedure="false">'ГВС. Т-подкл'!$7:$13</definedName>
    <definedName function="false" hidden="false" name="et_HOTVSNA_TARIFF_C_HOTVSNA_LEN" vbProcedure="false">'ГВС. Т-подкл'!$8:$9</definedName>
    <definedName function="false" hidden="false" name="et_HOTVSNA_TARIFF_C_HOTVSNA_LOAD" vbProcedure="false">'ГВС. Т-подкл'!$8:$11</definedName>
    <definedName function="false" hidden="false" name="et_HOTVSNA_TARIFF_C_HOTVSNA_NETS" vbProcedure="false">'ГВС. Т-подкл'!$8:$8</definedName>
    <definedName function="false" hidden="false" name="et_HOTVSNA_TARIFF_C_HOTVSNA_NTAR" vbProcedure="false">'ГВС. Т-подкл'!$2:$18</definedName>
    <definedName function="false" hidden="false" name="et_HOTVSNA_TARIFF_C_HOTVSNA_PERIOD_COLOR" vbProcedure="false">'ГВС. Т-подкл'!$AT$8:$BA$8</definedName>
    <definedName function="false" hidden="false" name="et_HOTVSNA_TARIFF_C_HOTVSNA_PERIOD_NOT_COLOR" vbProcedure="false">'ГВС. Т-подкл'!$AT$20:$BA$20</definedName>
    <definedName function="false" hidden="false" name="et_HOTVSNA_TARIFF_C_HOTVSNA_TER" vbProcedure="false">'ГВС. Т-подкл'!$3:$17</definedName>
    <definedName function="false" hidden="false" name="et_IP_DETAILED" vbProcedure="false">et_union_hor!$81:$87</definedName>
    <definedName function="false" hidden="false" name="et_IP_DETAILED_EVENT" vbProcedure="false">et_union_hor!$101:$105</definedName>
    <definedName function="false" hidden="false" name="et_IP_DETAILED_IST_FIN" vbProcedure="false">et_union_hor!$97:$97</definedName>
    <definedName function="false" hidden="false" name="et_IP_DETAILED_OBJECT" vbProcedure="false">et_union_hor!$91:$93</definedName>
    <definedName function="false" hidden="false" name="et_IP_DETAILED_YEAR" vbProcedure="false">et_union_hor!$82:$87</definedName>
    <definedName function="false" hidden="false" name="et_IP_MAIN" vbProcedure="false">et_union_hor!$72:$73</definedName>
    <definedName function="false" hidden="false" name="et_IP_MAIN_PROPERTY" vbProcedure="false">et_union_hor!$77:$77</definedName>
    <definedName function="false" hidden="false" name="et_IP_QRE" vbProcedure="false">et_union_hor!$109:$111</definedName>
    <definedName function="false" hidden="false" name="et_IP_QRE_CLAIM" vbProcedure="false">et_union_hor!$110:$110</definedName>
    <definedName function="false" hidden="false" name="et_List02" vbProcedure="false">et_union_hor!$154:$158</definedName>
    <definedName function="false" hidden="false" name="et_List02_1_wd" vbProcedure="false">et_union_hor!$194:$197</definedName>
    <definedName function="false" hidden="false" name="et_List02_2_wd" vbProcedure="false">et_union_hor!$194:$196</definedName>
    <definedName function="false" hidden="false" name="et_List02_3_wd" vbProcedure="false">et_union_hor!$194:$195</definedName>
    <definedName function="false" hidden="false" name="et_List02_4_wd" vbProcedure="false">et_union_hor!$194:$194</definedName>
    <definedName function="false" hidden="false" name="et_List02_changeColor_1" vbProcedure="false">et_union_hor!$J$154:$J$157</definedName>
    <definedName function="false" hidden="false" name="et_List02_changeColor_1_wd" vbProcedure="false">et_union_hor!$J$194:$J$197</definedName>
    <definedName function="false" hidden="false" name="et_List02_changeColor_2" vbProcedure="false">et_union_hor!$N$154:$N$156</definedName>
    <definedName function="false" hidden="false" name="et_List02_changeColor_2_wd" vbProcedure="false">et_union_hor!$N$194:$N$196</definedName>
    <definedName function="false" hidden="false" name="et_List02_changeColor_3" vbProcedure="false">et_union_hor!$R$154:$R$155</definedName>
    <definedName function="false" hidden="false" name="et_List02_changeColor_3_wd" vbProcedure="false">et_union_hor!$R$194:$R$195</definedName>
    <definedName function="false" hidden="false" name="et_List02_changeColor_4" vbProcedure="false">et_union_hor!$V$154</definedName>
    <definedName function="false" hidden="false" name="et_List02_changeColor_4_wd" vbProcedure="false">et_union_hor!$V$194</definedName>
    <definedName function="false" hidden="false" name="et_List02_wd" vbProcedure="false">et_union_hor!$194:$198</definedName>
    <definedName function="false" hidden="false" name="et_OFFER_p1" vbProcedure="false">Предложение!$8:$8</definedName>
    <definedName function="false" hidden="false" name="et_OFFER_p1_0" vbProcedure="false">Предложение!$2:$3</definedName>
    <definedName function="false" hidden="false" name="et_OFFER_p2" vbProcedure="false">Предложение!$10:$10</definedName>
    <definedName function="false" hidden="false" name="et_OFFER_p2_0" vbProcedure="false">Предложение!$5:$6</definedName>
    <definedName function="false" hidden="false" name="et_ORG_INFO_1" vbProcedure="false">et_union_hor!$39:$39</definedName>
    <definedName function="false" hidden="false" name="et_ORG_INFO_2" vbProcedure="false">et_union_hor!$43:$43</definedName>
    <definedName function="false" hidden="false" name="et_ORG_INFO_3" vbProcedure="false">et_union_hor!$47:$51</definedName>
    <definedName function="false" hidden="false" name="et_ORG_TERRITORY_MO" vbProcedure="false">et_union_hor!$56:$56</definedName>
    <definedName function="false" hidden="false" name="et_ORG_TERRITORY_MO_FLAG_INTERNET" vbProcedure="false">et_union_hor!$J$56</definedName>
    <definedName function="false" hidden="false" name="et_ORG_TERRITORY_MO_LINK" vbProcedure="false">et_union_hor!$K$56</definedName>
    <definedName function="false" hidden="false" name="et_ORG_VD" vbProcedure="false">et_union_hor!$60:$60</definedName>
    <definedName function="false" hidden="false" name="et_ORG_VD_COLDVSNA" vbProcedure="false">et_union_hor!$X$60:$Z$60</definedName>
    <definedName function="false" hidden="false" name="et_ORG_VD_FIRST_SYSTEM" vbProcedure="false">et_union_hor!$E$60</definedName>
    <definedName function="false" hidden="false" name="et_ORG_VD_HEAT" vbProcedure="false">et_union_hor!$H$60:$R$60</definedName>
    <definedName function="false" hidden="false" name="et_ORG_VD_HOTVSNA" vbProcedure="false">et_union_hor!$AB$60:$AC$60</definedName>
    <definedName function="false" hidden="false" name="et_ORG_VD_TKO_ACTIVITY" vbProcedure="false">'Виды объектов'!$2:$3</definedName>
    <definedName function="false" hidden="false" name="et_ORG_VD_TKO_TYPE_OBJECT" vbProcedure="false">'Виды объектов'!$2:$2</definedName>
    <definedName function="false" hidden="false" name="et_ORG_VD_VOTV" vbProcedure="false">et_union_hor!$T$60:$V$60</definedName>
    <definedName function="false" hidden="false" name="et_P_PROCEDURE_TC_1" vbProcedure="false">'Порядок ТП'!$2:$2</definedName>
    <definedName function="false" hidden="false" name="et_P_PROCEDURE_TC_2" vbProcedure="false">'Порядок ТП'!$4:$4</definedName>
    <definedName function="false" hidden="false" name="et_P_PROCEDURE_TC_3" vbProcedure="false">'Порядок ТП'!$6:$6</definedName>
    <definedName function="false" hidden="false" name="et_P_PROCEDURE_TC_4" vbProcedure="false">'Порядок ТП'!$8:$8</definedName>
    <definedName function="false" hidden="false" name="et_P_PROCEDURE_TC_5" vbProcedure="false">'Порядок ТП'!$10:$10</definedName>
    <definedName function="false" hidden="false" name="et_P_T_TERMS" vbProcedure="false">et_union_hor!$68:$68</definedName>
    <definedName function="false" hidden="false" name="et_QRE" vbProcedure="false">et_union_hor!$109:$111</definedName>
    <definedName function="false" hidden="false" name="et_QRE_CLAIM" vbProcedure="false">et_union_hor!$110:$110</definedName>
    <definedName function="false" hidden="false" name="et_Q_TP_DIFFERENTIATION" vbProcedure="false">ТП!$G:$G</definedName>
    <definedName function="false" hidden="false" name="et_ROIV_CASE_case" vbProcedure="false">'Дела об установлении тарифов'!$2:$2</definedName>
    <definedName function="false" hidden="false" name="et_ROIV_CASE_PUC_case" vbProcedure="false">'Дела об утверждении ПУЦ'!$2:$2</definedName>
    <definedName function="false" hidden="false" name="et_ROIV_INFO_phone" vbProcedure="false">'Орган регулирования'!$2:$2</definedName>
    <definedName function="false" hidden="false" name="et_ROIV_ORG_org" vbProcedure="false">'Перечень организаций'!$2:$2</definedName>
    <definedName function="false" hidden="false" name="et_ROIV_OTV_DL" vbProcedure="false">'Привлечение к ответственности'!$5:$5</definedName>
    <definedName function="false" hidden="false" name="et_ROIV_OTV_org" vbProcedure="false">'Привлечение к ответственности'!$2:$3</definedName>
    <definedName function="false" hidden="false" name="et_R_B_Purch" vbProcedure="false">'Сведения о закупках'!$2:$2</definedName>
    <definedName function="false" hidden="false" name="et_TERMS" vbProcedure="false">et_union_hor!$68:$68</definedName>
    <definedName function="false" hidden="false" name="et_TERRITORY_AREA" vbProcedure="false">et_union_hor!$13:$15</definedName>
    <definedName function="false" hidden="false" name="et_TERRITORY_MO" vbProcedure="false">et_union_hor!$19:$19</definedName>
    <definedName function="false" hidden="false" name="et_ver_B_FHD_DIFFERENTIATION" vbProcedure="false">'Показатели ФХД'!$H:$H</definedName>
    <definedName function="false" hidden="false" name="et_ver_B_FHD_TKO_DIFFERENTIATION" vbProcedure="false">'ТКО. Показатели ФХД'!$H:$H</definedName>
    <definedName function="false" hidden="false" name="et_ver_B_FHD_TKO_TRANS_DIFFERENTIATION" vbProcedure="false">'ТКО. Транс. Показатели ФХД'!$H:$H</definedName>
    <definedName function="false" hidden="false" name="et_ver_B_KNE_DIFFERENTIATION" vbProcedure="false">'Показатели КНЭ'!$G:$H</definedName>
    <definedName function="false" hidden="false" name="et_ver_B_OTEP_DIFFERENTIATION" vbProcedure="false">'Показатели ОТЭП'!$L:$L</definedName>
    <definedName function="false" hidden="false" name="et_ver_COLDVSNA_TARIFF_A_COLDVSNA" vbProcedure="false">'ХВС. Т-пит'!$V:$AB</definedName>
    <definedName function="false" hidden="false" name="et_ver_COLDVSNA_TARIFF_B_COLDVSNA" vbProcedure="false">'ХВС. Т-тех'!$V:$AB</definedName>
    <definedName function="false" hidden="false" name="et_ver_COLDVSNA_TARIFF_C_COLDVSNA" vbProcedure="false">'ХВС. Т-транс'!$V:$AB</definedName>
    <definedName function="false" hidden="false" name="et_ver_COLDVSNA_TARIFF_D_COLDVSNA" vbProcedure="false">'ХВС. Т-подвоз'!$V:$AB</definedName>
    <definedName function="false" hidden="false" name="et_ver_COLDVSNA_TARIFF_E_COLDVSNA" vbProcedure="false">'ХВС. Т-подкл'!$V:$AC</definedName>
    <definedName function="false" hidden="false" name="et_ver_HEAT_TARIFF_A" vbProcedure="false">'ТС. Т-ТЭ | &gt;=25МВт'!$V:$AC</definedName>
    <definedName function="false" hidden="false" name="et_ver_HEAT_TARIFF_B" vbProcedure="false">'ТС. Т-ТЭ | ТСО'!$V:$AC</definedName>
    <definedName function="false" hidden="false" name="et_ver_HEAT_TARIFF_C" vbProcedure="false">'ТС. Т-ТН'!$V:$AC</definedName>
    <definedName function="false" hidden="false" name="et_ver_HEAT_TARIFF_D" vbProcedure="false">'ТС. Т-гор.вода'!$X:$AF</definedName>
    <definedName function="false" hidden="false" name="et_ver_HEAT_TARIFF_E1" vbProcedure="false">'ТС. Т-передача ТЭ'!$V:$AC</definedName>
    <definedName function="false" hidden="false" name="et_ver_HEAT_TARIFF_E2" vbProcedure="false">'ТС. Т-передача ТН'!$V:$AC</definedName>
    <definedName function="false" hidden="false" name="et_ver_HEAT_TARIFF_F" vbProcedure="false">'ТС. Резерв мощности'!$V:$AC</definedName>
    <definedName function="false" hidden="false" name="et_ver_HEAT_TARIFF_G" vbProcedure="false">'ТС. Т-подкл'!$V:$AA</definedName>
    <definedName function="false" hidden="false" name="et_ver_HEAT_TARIFF_H" vbProcedure="false">'ТС. Т-подкл(инд)'!$V:$AA</definedName>
    <definedName function="false" hidden="false" name="et_ver_HEAT_TARIFF_I" vbProcedure="false">'ТС. Т-ТЭ | предел'!$V:$AC</definedName>
    <definedName function="false" hidden="false" name="et_ver_HEAT_TARIFF_I_1" vbProcedure="false">'ТС. Т-ТЭ | индикат'!$V:$AC</definedName>
    <definedName function="false" hidden="false" name="et_ver_HOTVSNA_TARIFF_A_HOTVSNA" vbProcedure="false">'ГВС. Т-гор.вода'!$V:$AF</definedName>
    <definedName function="false" hidden="false" name="et_ver_HOTVSNA_TARIFF_B_HOTVSNA" vbProcedure="false">'ГВС. Т-транс'!$V:$AF</definedName>
    <definedName function="false" hidden="false" name="et_ver_HOTVSNA_TARIFF_C_HOTVSNA" vbProcedure="false">'ГВС. Т-подкл'!$V:$AC</definedName>
    <definedName function="false" hidden="false" name="et_ver_IP_FIN_PLAN" vbProcedure="false">'ИП. Финансовый план'!$H:$J</definedName>
    <definedName function="false" hidden="false" name="et_ver_IP_FIN_PLAN_YEAR" vbProcedure="false">'ИП. Финансовый план'!$I:$I</definedName>
    <definedName function="false" hidden="false" name="et_ver_Q_LIMIT_DIFFERENTIATION" vbProcedure="false">Ограничения!$G:$H</definedName>
    <definedName function="false" hidden="false" name="et_ver_Q_PH_DIFFERENTIATION" vbProcedure="false">'Потребительские характеристики'!$G:$H</definedName>
    <definedName function="false" hidden="false" name="et_ver_Q_TP_DIFFERENTIATION" vbProcedure="false">ТП!$G:$G</definedName>
    <definedName function="false" hidden="false" name="et_ver_VOTV_TARIFF_A_VOTV" vbProcedure="false">'ВО. Т-во'!$V:$AB</definedName>
    <definedName function="false" hidden="false" name="et_ver_VOTV_TARIFF_B_VOTV" vbProcedure="false">'ВО. Т-транс'!$V:$AB</definedName>
    <definedName function="false" hidden="false" name="et_ver_VOTV_TARIFF_C_VOTV" vbProcedure="false">'ВО. Т-подкл'!$V:$AC</definedName>
    <definedName function="false" hidden="false" name="et_VOTV_TARIFF_A_VOTV_CS" vbProcedure="false">'ВО. Т-во'!$4:$11</definedName>
    <definedName function="false" hidden="false" name="et_VOTV_TARIFF_A_VOTV_DATA_DIFF" vbProcedure="false">'ВО. Т-во'!$7:$8</definedName>
    <definedName function="false" hidden="false" name="et_VOTV_TARIFF_A_VOTV_FLAG_DIFF" vbProcedure="false">'ВО. Т-во'!$5:$10</definedName>
    <definedName function="false" hidden="false" name="et_VOTV_TARIFF_A_VOTV_GC" vbProcedure="false">'ВО. Т-во'!$6:$9</definedName>
    <definedName function="false" hidden="false" name="et_VOTV_TARIFF_A_VOTV_NTAR" vbProcedure="false">'ВО. Т-во'!$2:$13</definedName>
    <definedName function="false" hidden="false" name="et_VOTV_TARIFF_A_VOTV_PERIOD_COLOR" vbProcedure="false">'ВО. Т-во'!$AC$7:$AI$8</definedName>
    <definedName function="false" hidden="false" name="et_VOTV_TARIFF_A_VOTV_PERIOD_NOT_COLOR" vbProcedure="false">'ВО. Т-во'!$AC$15:$AI$16</definedName>
    <definedName function="false" hidden="false" name="et_VOTV_TARIFF_A_VOTV_TER" vbProcedure="false">'ВО. Т-во'!$3:$12</definedName>
    <definedName function="false" hidden="false" name="et_VOTV_TARIFF_A_VOTV_TN" vbProcedure="false">'ВО. Т-во'!$7:$8</definedName>
    <definedName function="false" hidden="false" name="et_VOTV_TARIFF_B_VOTV_CS" vbProcedure="false">'ВО. Т-транс'!$4:$11</definedName>
    <definedName function="false" hidden="false" name="et_VOTV_TARIFF_B_VOTV_DATA_DIFF" vbProcedure="false">'ВО. Т-транс'!$7:$8</definedName>
    <definedName function="false" hidden="false" name="et_VOTV_TARIFF_B_VOTV_FLAG_DIFF" vbProcedure="false">'ВО. Т-транс'!$5:$10</definedName>
    <definedName function="false" hidden="false" name="et_VOTV_TARIFF_B_VOTV_GC" vbProcedure="false">'ВО. Т-транс'!$6:$9</definedName>
    <definedName function="false" hidden="false" name="et_VOTV_TARIFF_B_VOTV_NTAR" vbProcedure="false">'ВО. Т-транс'!$2:$13</definedName>
    <definedName function="false" hidden="false" name="et_VOTV_TARIFF_B_VOTV_PERIOD_COLOR" vbProcedure="false">'ВО. Т-транс'!$AC$7:$AI$8</definedName>
    <definedName function="false" hidden="false" name="et_VOTV_TARIFF_B_VOTV_PERIOD_NOT_COLOR" vbProcedure="false">'ВО. Т-транс'!$AC$15:$AI$16</definedName>
    <definedName function="false" hidden="false" name="et_VOTV_TARIFF_B_VOTV_TER" vbProcedure="false">'ВО. Т-транс'!$3:$12</definedName>
    <definedName function="false" hidden="false" name="et_VOTV_TARIFF_B_VOTV_TN" vbProcedure="false">'ВО. Т-транс'!$7:$8</definedName>
    <definedName function="false" hidden="false" name="et_VOTV_TARIFF_C_VOTV_CS" vbProcedure="false">'ВО. Т-подкл'!$4:$16</definedName>
    <definedName function="false" hidden="false" name="et_VOTV_TARIFF_C_VOTV_DATA_DIFF" vbProcedure="false">'ВО. Т-подкл'!$8:$12</definedName>
    <definedName function="false" hidden="false" name="et_VOTV_TARIFF_C_VOTV_DIAMETERS" vbProcedure="false">'ВО. Т-подкл'!$8:$10</definedName>
    <definedName function="false" hidden="false" name="et_VOTV_TARIFF_C_VOTV_FLAG_DIFF" vbProcedure="false">'ВО. Т-подкл'!$6:$14</definedName>
    <definedName function="false" hidden="false" name="et_VOTV_TARIFF_C_VOTV_GC" vbProcedure="false">'ВО. Т-подкл'!$7:$13</definedName>
    <definedName function="false" hidden="false" name="et_VOTV_TARIFF_C_VOTV_LEN" vbProcedure="false">'ВО. Т-подкл'!$8:$9</definedName>
    <definedName function="false" hidden="false" name="et_VOTV_TARIFF_C_VOTV_LOAD" vbProcedure="false">'ВО. Т-подкл'!$8:$11</definedName>
    <definedName function="false" hidden="false" name="et_VOTV_TARIFF_C_VOTV_NETS" vbProcedure="false">'ВО. Т-подкл'!$8:$8</definedName>
    <definedName function="false" hidden="false" name="et_VOTV_TARIFF_C_VOTV_NTAR" vbProcedure="false">'ВО. Т-подкл'!$2:$18</definedName>
    <definedName function="false" hidden="false" name="et_VOTV_TARIFF_C_VOTV_PERIOD_COLOR" vbProcedure="false">'ВО. Т-подкл'!$AT$8:$BA$8</definedName>
    <definedName function="false" hidden="false" name="et_VOTV_TARIFF_C_VOTV_PERIOD_NOT_COLOR" vbProcedure="false">'ВО. Т-подкл'!$AT$20:$BA$20</definedName>
    <definedName function="false" hidden="false" name="et_VOTV_TARIFF_C_VOTV_TER" vbProcedure="false">'ВО. Т-подкл'!$3:$17</definedName>
    <definedName function="false" hidden="false" name="FHD20_NAME_FORM" vbProcedure="false">DATA_FORMS!$C$7</definedName>
    <definedName function="false" hidden="false" name="FHD_NAME_FORM" vbProcedure="false">DATA_FORMS!$C$6</definedName>
    <definedName function="false" hidden="false" name="FHD_NOTE_P_1" vbProcedure="false">DATA_NPA!$N$18</definedName>
    <definedName function="false" hidden="false" name="FHD_NOTE_P_10" vbProcedure="false">DATA_NPA!$N$27</definedName>
    <definedName function="false" hidden="false" name="FHD_NOTE_P_11" vbProcedure="false">DATA_NPA!$N$28</definedName>
    <definedName function="false" hidden="false" name="FHD_NOTE_P_12" vbProcedure="false">DATA_NPA!$N$29</definedName>
    <definedName function="false" hidden="false" name="FHD_NOTE_P_13" vbProcedure="false">DATA_NPA!$N$30</definedName>
    <definedName function="false" hidden="false" name="FHD_NOTE_P_14" vbProcedure="false">DATA_NPA!$N$31</definedName>
    <definedName function="false" hidden="false" name="FHD_NOTE_P_15" vbProcedure="false">DATA_NPA!$N$32</definedName>
    <definedName function="false" hidden="false" name="FHD_NOTE_P_16" vbProcedure="false">DATA_NPA!$N$33</definedName>
    <definedName function="false" hidden="false" name="FHD_NOTE_P_17" vbProcedure="false">DATA_NPA!$N$34</definedName>
    <definedName function="false" hidden="false" name="FHD_NOTE_P_18" vbProcedure="false">DATA_NPA!$N$35</definedName>
    <definedName function="false" hidden="false" name="FHD_NOTE_P_19" vbProcedure="false">DATA_NPA!$N$36</definedName>
    <definedName function="false" hidden="false" name="FHD_NOTE_P_2" vbProcedure="false">DATA_NPA!$N$19</definedName>
    <definedName function="false" hidden="false" name="FHD_NOTE_P_20" vbProcedure="false">DATA_NPA!$N$37</definedName>
    <definedName function="false" hidden="false" name="FHD_NOTE_P_21" vbProcedure="false">DATA_NPA!$N$38</definedName>
    <definedName function="false" hidden="false" name="FHD_NOTE_P_22" vbProcedure="false">DATA_NPA!$N$39</definedName>
    <definedName function="false" hidden="false" name="FHD_NOTE_P_23" vbProcedure="false">DATA_NPA!$N$40</definedName>
    <definedName function="false" hidden="false" name="FHD_NOTE_P_24" vbProcedure="false">DATA_NPA!$N$41</definedName>
    <definedName function="false" hidden="false" name="FHD_NOTE_P_25" vbProcedure="false">DATA_NPA!$N$42</definedName>
    <definedName function="false" hidden="false" name="FHD_NOTE_P_26" vbProcedure="false">DATA_NPA!$N$43</definedName>
    <definedName function="false" hidden="false" name="FHD_NOTE_P_27" vbProcedure="false">DATA_NPA!$N$44</definedName>
    <definedName function="false" hidden="false" name="FHD_NOTE_P_28" vbProcedure="false">DATA_NPA!$N$45</definedName>
    <definedName function="false" hidden="false" name="FHD_NOTE_P_29" vbProcedure="false">DATA_NPA!$N$46</definedName>
    <definedName function="false" hidden="false" name="FHD_NOTE_P_3" vbProcedure="false">DATA_NPA!$N$20</definedName>
    <definedName function="false" hidden="false" name="FHD_NOTE_P_30" vbProcedure="false">DATA_NPA!$N$47</definedName>
    <definedName function="false" hidden="false" name="FHD_NOTE_P_31" vbProcedure="false">DATA_NPA!$N$48</definedName>
    <definedName function="false" hidden="false" name="FHD_NOTE_P_32" vbProcedure="false">DATA_NPA!$N$49</definedName>
    <definedName function="false" hidden="false" name="FHD_NOTE_P_33" vbProcedure="false">DATA_NPA!$N$50</definedName>
    <definedName function="false" hidden="false" name="FHD_NOTE_P_34" vbProcedure="false">DATA_NPA!$N$51</definedName>
    <definedName function="false" hidden="false" name="FHD_NOTE_P_35" vbProcedure="false">DATA_NPA!$N$52</definedName>
    <definedName function="false" hidden="false" name="FHD_NOTE_P_36" vbProcedure="false">DATA_NPA!$N$53</definedName>
    <definedName function="false" hidden="false" name="FHD_NOTE_P_37" vbProcedure="false">DATA_NPA!$N$54</definedName>
    <definedName function="false" hidden="false" name="FHD_NOTE_P_38" vbProcedure="false">DATA_NPA!$N$55</definedName>
    <definedName function="false" hidden="false" name="FHD_NOTE_P_39" vbProcedure="false">DATA_NPA!$N$56</definedName>
    <definedName function="false" hidden="false" name="FHD_NOTE_P_4" vbProcedure="false">DATA_NPA!$N$21</definedName>
    <definedName function="false" hidden="false" name="FHD_NOTE_P_40" vbProcedure="false">DATA_NPA!$N$57</definedName>
    <definedName function="false" hidden="false" name="FHD_NOTE_P_41" vbProcedure="false">DATA_NPA!$N$58</definedName>
    <definedName function="false" hidden="false" name="FHD_NOTE_P_42" vbProcedure="false">DATA_NPA!$N$59</definedName>
    <definedName function="false" hidden="false" name="FHD_NOTE_P_43" vbProcedure="false">DATA_NPA!$N$60</definedName>
    <definedName function="false" hidden="false" name="FHD_NOTE_P_44" vbProcedure="false">DATA_NPA!$N$61</definedName>
    <definedName function="false" hidden="false" name="FHD_NOTE_P_45" vbProcedure="false">DATA_NPA!$N$62</definedName>
    <definedName function="false" hidden="false" name="FHD_NOTE_P_46" vbProcedure="false">DATA_NPA!$N$63</definedName>
    <definedName function="false" hidden="false" name="FHD_NOTE_P_47" vbProcedure="false">DATA_NPA!$N$64</definedName>
    <definedName function="false" hidden="false" name="FHD_NOTE_P_48" vbProcedure="false">DATA_NPA!$N$65</definedName>
    <definedName function="false" hidden="false" name="FHD_NOTE_P_49" vbProcedure="false">DATA_NPA!$N$66</definedName>
    <definedName function="false" hidden="false" name="FHD_NOTE_P_5" vbProcedure="false">DATA_NPA!$N$22</definedName>
    <definedName function="false" hidden="false" name="FHD_NOTE_P_50" vbProcedure="false">DATA_NPA!$N$67</definedName>
    <definedName function="false" hidden="false" name="FHD_NOTE_P_51" vbProcedure="false">DATA_NPA!$N$68</definedName>
    <definedName function="false" hidden="false" name="FHD_NOTE_P_52" vbProcedure="false">DATA_NPA!$N$69</definedName>
    <definedName function="false" hidden="false" name="FHD_NOTE_P_53" vbProcedure="false">DATA_NPA!$N$70</definedName>
    <definedName function="false" hidden="false" name="FHD_NOTE_P_54" vbProcedure="false">DATA_NPA!$N$71</definedName>
    <definedName function="false" hidden="false" name="FHD_NOTE_P_55" vbProcedure="false">DATA_NPA!$N$72</definedName>
    <definedName function="false" hidden="false" name="FHD_NOTE_P_56" vbProcedure="false">DATA_NPA!$N$73</definedName>
    <definedName function="false" hidden="false" name="FHD_NOTE_P_57" vbProcedure="false">DATA_NPA!$N$74</definedName>
    <definedName function="false" hidden="false" name="FHD_NOTE_P_58" vbProcedure="false">DATA_NPA!$N$75</definedName>
    <definedName function="false" hidden="false" name="FHD_NOTE_P_59" vbProcedure="false">DATA_NPA!$N$76</definedName>
    <definedName function="false" hidden="false" name="FHD_NOTE_P_6" vbProcedure="false">DATA_NPA!$N$23</definedName>
    <definedName function="false" hidden="false" name="FHD_NOTE_P_60" vbProcedure="false">DATA_NPA!$N$77</definedName>
    <definedName function="false" hidden="false" name="FHD_NOTE_P_61" vbProcedure="false">DATA_NPA!$N$78</definedName>
    <definedName function="false" hidden="false" name="FHD_NOTE_P_62" vbProcedure="false">DATA_NPA!$N$79</definedName>
    <definedName function="false" hidden="false" name="FHD_NOTE_P_63" vbProcedure="false">DATA_NPA!$N$80</definedName>
    <definedName function="false" hidden="false" name="FHD_NOTE_P_64" vbProcedure="false">DATA_NPA!$N$81</definedName>
    <definedName function="false" hidden="false" name="FHD_NOTE_P_65" vbProcedure="false">DATA_NPA!$N$82</definedName>
    <definedName function="false" hidden="false" name="FHD_NOTE_P_66" vbProcedure="false">DATA_NPA!$N$83</definedName>
    <definedName function="false" hidden="false" name="FHD_NOTE_P_67" vbProcedure="false">DATA_NPA!$N$84</definedName>
    <definedName function="false" hidden="false" name="FHD_NOTE_P_68" vbProcedure="false">DATA_NPA!$N$85</definedName>
    <definedName function="false" hidden="false" name="FHD_NOTE_P_69" vbProcedure="false">DATA_NPA!$N$86</definedName>
    <definedName function="false" hidden="false" name="FHD_NOTE_P_7" vbProcedure="false">DATA_NPA!$N$24</definedName>
    <definedName function="false" hidden="false" name="FHD_NOTE_P_70" vbProcedure="false">DATA_NPA!$N$87</definedName>
    <definedName function="false" hidden="false" name="FHD_NOTE_P_71" vbProcedure="false">DATA_NPA!$N$88</definedName>
    <definedName function="false" hidden="false" name="FHD_NOTE_P_72" vbProcedure="false">DATA_NPA!$N$89</definedName>
    <definedName function="false" hidden="false" name="FHD_NOTE_P_73" vbProcedure="false">DATA_NPA!$N$90</definedName>
    <definedName function="false" hidden="false" name="FHD_NOTE_P_74" vbProcedure="false">DATA_NPA!$N$91</definedName>
    <definedName function="false" hidden="false" name="FHD_NOTE_P_75" vbProcedure="false">DATA_NPA!$N$92</definedName>
    <definedName function="false" hidden="false" name="FHD_NOTE_P_76" vbProcedure="false">DATA_NPA!$N$93</definedName>
    <definedName function="false" hidden="false" name="FHD_NOTE_P_77" vbProcedure="false">DATA_NPA!$N$94</definedName>
    <definedName function="false" hidden="false" name="FHD_NOTE_P_78" vbProcedure="false">DATA_NPA!$N$95</definedName>
    <definedName function="false" hidden="false" name="FHD_NOTE_P_79" vbProcedure="false">DATA_NPA!$N$96</definedName>
    <definedName function="false" hidden="false" name="FHD_NOTE_P_8" vbProcedure="false">DATA_NPA!$N$25</definedName>
    <definedName function="false" hidden="false" name="FHD_NOTE_P_80" vbProcedure="false">DATA_NPA!$N$97</definedName>
    <definedName function="false" hidden="false" name="FHD_NOTE_P_81" vbProcedure="false">DATA_NPA!$N$98</definedName>
    <definedName function="false" hidden="false" name="FHD_NOTE_P_82" vbProcedure="false">DATA_NPA!$N$99</definedName>
    <definedName function="false" hidden="false" name="FHD_NOTE_P_83" vbProcedure="false">DATA_NPA!$N$100</definedName>
    <definedName function="false" hidden="false" name="FHD_NOTE_P_84" vbProcedure="false">DATA_NPA!$N$101</definedName>
    <definedName function="false" hidden="false" name="FHD_NOTE_P_9" vbProcedure="false">DATA_NPA!$N$26</definedName>
    <definedName function="false" hidden="false" name="FHD_NUM_P_1" vbProcedure="false">DATA_NPA!$L$18</definedName>
    <definedName function="false" hidden="false" name="FHD_NUM_P_10" vbProcedure="false">DATA_NPA!$L$27</definedName>
    <definedName function="false" hidden="false" name="FHD_NUM_P_11" vbProcedure="false">DATA_NPA!$L$28</definedName>
    <definedName function="false" hidden="false" name="FHD_NUM_P_12" vbProcedure="false">DATA_NPA!$L$29</definedName>
    <definedName function="false" hidden="false" name="FHD_NUM_P_13" vbProcedure="false">DATA_NPA!$L$30</definedName>
    <definedName function="false" hidden="false" name="FHD_NUM_P_14" vbProcedure="false">DATA_NPA!$L$31</definedName>
    <definedName function="false" hidden="false" name="FHD_NUM_P_15" vbProcedure="false">DATA_NPA!$L$32</definedName>
    <definedName function="false" hidden="false" name="FHD_NUM_P_16" vbProcedure="false">DATA_NPA!$L$33</definedName>
    <definedName function="false" hidden="false" name="FHD_NUM_P_17" vbProcedure="false">DATA_NPA!$L$34</definedName>
    <definedName function="false" hidden="false" name="FHD_NUM_P_18" vbProcedure="false">DATA_NPA!$L$35</definedName>
    <definedName function="false" hidden="false" name="FHD_NUM_P_19" vbProcedure="false">DATA_NPA!$L$36</definedName>
    <definedName function="false" hidden="false" name="FHD_NUM_P_2" vbProcedure="false">DATA_NPA!$L$19</definedName>
    <definedName function="false" hidden="false" name="FHD_NUM_P_20" vbProcedure="false">DATA_NPA!$L$37</definedName>
    <definedName function="false" hidden="false" name="FHD_NUM_P_21" vbProcedure="false">DATA_NPA!$L$38</definedName>
    <definedName function="false" hidden="false" name="FHD_NUM_P_22" vbProcedure="false">DATA_NPA!$L$39</definedName>
    <definedName function="false" hidden="false" name="FHD_NUM_P_23" vbProcedure="false">DATA_NPA!$L$40</definedName>
    <definedName function="false" hidden="false" name="FHD_NUM_P_24" vbProcedure="false">DATA_NPA!$L$41</definedName>
    <definedName function="false" hidden="false" name="FHD_NUM_P_25" vbProcedure="false">DATA_NPA!$L$42</definedName>
    <definedName function="false" hidden="false" name="FHD_NUM_P_26" vbProcedure="false">DATA_NPA!$L$43</definedName>
    <definedName function="false" hidden="false" name="FHD_NUM_P_27" vbProcedure="false">DATA_NPA!$L$44</definedName>
    <definedName function="false" hidden="false" name="FHD_NUM_P_28" vbProcedure="false">DATA_NPA!$L$45</definedName>
    <definedName function="false" hidden="false" name="FHD_NUM_P_29" vbProcedure="false">DATA_NPA!$L$46</definedName>
    <definedName function="false" hidden="false" name="FHD_NUM_P_3" vbProcedure="false">DATA_NPA!$L$20</definedName>
    <definedName function="false" hidden="false" name="FHD_NUM_P_30" vbProcedure="false">DATA_NPA!$L$47</definedName>
    <definedName function="false" hidden="false" name="FHD_NUM_P_31" vbProcedure="false">DATA_NPA!$L$48</definedName>
    <definedName function="false" hidden="false" name="FHD_NUM_P_32" vbProcedure="false">DATA_NPA!$L$49</definedName>
    <definedName function="false" hidden="false" name="FHD_NUM_P_33" vbProcedure="false">DATA_NPA!$L$50</definedName>
    <definedName function="false" hidden="false" name="FHD_NUM_P_34" vbProcedure="false">DATA_NPA!$L$51</definedName>
    <definedName function="false" hidden="false" name="FHD_NUM_P_35" vbProcedure="false">DATA_NPA!$L$52</definedName>
    <definedName function="false" hidden="false" name="FHD_NUM_P_36" vbProcedure="false">DATA_NPA!$L$53</definedName>
    <definedName function="false" hidden="false" name="FHD_NUM_P_37" vbProcedure="false">DATA_NPA!$L$54</definedName>
    <definedName function="false" hidden="false" name="FHD_NUM_P_38" vbProcedure="false">DATA_NPA!$L$55</definedName>
    <definedName function="false" hidden="false" name="FHD_NUM_P_39" vbProcedure="false">DATA_NPA!$L$56</definedName>
    <definedName function="false" hidden="false" name="FHD_NUM_P_4" vbProcedure="false">DATA_NPA!$L$21</definedName>
    <definedName function="false" hidden="false" name="FHD_NUM_P_40" vbProcedure="false">DATA_NPA!$L$57</definedName>
    <definedName function="false" hidden="false" name="FHD_NUM_P_41" vbProcedure="false">DATA_NPA!$L$58</definedName>
    <definedName function="false" hidden="false" name="FHD_NUM_P_42" vbProcedure="false">DATA_NPA!$L$59</definedName>
    <definedName function="false" hidden="false" name="FHD_NUM_P_43" vbProcedure="false">DATA_NPA!$L$60</definedName>
    <definedName function="false" hidden="false" name="FHD_NUM_P_44" vbProcedure="false">DATA_NPA!$L$61</definedName>
    <definedName function="false" hidden="false" name="FHD_NUM_P_45" vbProcedure="false">DATA_NPA!$L$62</definedName>
    <definedName function="false" hidden="false" name="FHD_NUM_P_46" vbProcedure="false">DATA_NPA!$L$63</definedName>
    <definedName function="false" hidden="false" name="FHD_NUM_P_47" vbProcedure="false">DATA_NPA!$L$64</definedName>
    <definedName function="false" hidden="false" name="FHD_NUM_P_48" vbProcedure="false">DATA_NPA!$L$65</definedName>
    <definedName function="false" hidden="false" name="FHD_NUM_P_49" vbProcedure="false">DATA_NPA!$L$66</definedName>
    <definedName function="false" hidden="false" name="FHD_NUM_P_5" vbProcedure="false">DATA_NPA!$L$22</definedName>
    <definedName function="false" hidden="false" name="FHD_NUM_P_50" vbProcedure="false">DATA_NPA!$L$67</definedName>
    <definedName function="false" hidden="false" name="FHD_NUM_P_51" vbProcedure="false">DATA_NPA!$L$68</definedName>
    <definedName function="false" hidden="false" name="FHD_NUM_P_52" vbProcedure="false">DATA_NPA!$L$69</definedName>
    <definedName function="false" hidden="false" name="FHD_NUM_P_53" vbProcedure="false">DATA_NPA!$L$70</definedName>
    <definedName function="false" hidden="false" name="FHD_NUM_P_54" vbProcedure="false">DATA_NPA!$L$71</definedName>
    <definedName function="false" hidden="false" name="FHD_NUM_P_55" vbProcedure="false">DATA_NPA!$L$72</definedName>
    <definedName function="false" hidden="false" name="FHD_NUM_P_56" vbProcedure="false">DATA_NPA!$L$73</definedName>
    <definedName function="false" hidden="false" name="FHD_NUM_P_57" vbProcedure="false">DATA_NPA!$L$74</definedName>
    <definedName function="false" hidden="false" name="FHD_NUM_P_58" vbProcedure="false">DATA_NPA!$L$75</definedName>
    <definedName function="false" hidden="false" name="FHD_NUM_P_59" vbProcedure="false">DATA_NPA!$L$76</definedName>
    <definedName function="false" hidden="false" name="FHD_NUM_P_6" vbProcedure="false">DATA_NPA!$L$23</definedName>
    <definedName function="false" hidden="false" name="FHD_NUM_P_60" vbProcedure="false">DATA_NPA!$L$77</definedName>
    <definedName function="false" hidden="false" name="FHD_NUM_P_61" vbProcedure="false">DATA_NPA!$L$78</definedName>
    <definedName function="false" hidden="false" name="FHD_NUM_P_62" vbProcedure="false">DATA_NPA!$L$79</definedName>
    <definedName function="false" hidden="false" name="FHD_NUM_P_63" vbProcedure="false">DATA_NPA!$L$80</definedName>
    <definedName function="false" hidden="false" name="FHD_NUM_P_64" vbProcedure="false">DATA_NPA!$L$81</definedName>
    <definedName function="false" hidden="false" name="FHD_NUM_P_65" vbProcedure="false">DATA_NPA!$L$82</definedName>
    <definedName function="false" hidden="false" name="FHD_NUM_P_66" vbProcedure="false">DATA_NPA!$L$83</definedName>
    <definedName function="false" hidden="false" name="FHD_NUM_P_67" vbProcedure="false">DATA_NPA!$L$84</definedName>
    <definedName function="false" hidden="false" name="FHD_NUM_P_68" vbProcedure="false">DATA_NPA!$L$85</definedName>
    <definedName function="false" hidden="false" name="FHD_NUM_P_69" vbProcedure="false">DATA_NPA!$L$86</definedName>
    <definedName function="false" hidden="false" name="FHD_NUM_P_7" vbProcedure="false">DATA_NPA!$L$24</definedName>
    <definedName function="false" hidden="false" name="FHD_NUM_P_70" vbProcedure="false">DATA_NPA!$L$87</definedName>
    <definedName function="false" hidden="false" name="FHD_NUM_P_71" vbProcedure="false">DATA_NPA!$L$88</definedName>
    <definedName function="false" hidden="false" name="FHD_NUM_P_72" vbProcedure="false">DATA_NPA!$L$89</definedName>
    <definedName function="false" hidden="false" name="FHD_NUM_P_73" vbProcedure="false">DATA_NPA!$L$90</definedName>
    <definedName function="false" hidden="false" name="FHD_NUM_P_74" vbProcedure="false">DATA_NPA!$L$91</definedName>
    <definedName function="false" hidden="false" name="FHD_NUM_P_75" vbProcedure="false">DATA_NPA!$L$92</definedName>
    <definedName function="false" hidden="false" name="FHD_NUM_P_76" vbProcedure="false">DATA_NPA!$L$93</definedName>
    <definedName function="false" hidden="false" name="FHD_NUM_P_77" vbProcedure="false">DATA_NPA!$L$94</definedName>
    <definedName function="false" hidden="false" name="FHD_NUM_P_78" vbProcedure="false">DATA_NPA!$L$95</definedName>
    <definedName function="false" hidden="false" name="FHD_NUM_P_79" vbProcedure="false">DATA_NPA!$L$96</definedName>
    <definedName function="false" hidden="false" name="FHD_NUM_P_8" vbProcedure="false">DATA_NPA!$L$25</definedName>
    <definedName function="false" hidden="false" name="FHD_NUM_P_80" vbProcedure="false">DATA_NPA!$L$97</definedName>
    <definedName function="false" hidden="false" name="FHD_NUM_P_81" vbProcedure="false">DATA_NPA!$L$98</definedName>
    <definedName function="false" hidden="false" name="FHD_NUM_P_82" vbProcedure="false">DATA_NPA!$L$99</definedName>
    <definedName function="false" hidden="false" name="FHD_NUM_P_83" vbProcedure="false">DATA_NPA!$L$100</definedName>
    <definedName function="false" hidden="false" name="FHD_NUM_P_84" vbProcedure="false">DATA_NPA!$L$101</definedName>
    <definedName function="false" hidden="false" name="FHD_NUM_P_9" vbProcedure="false">DATA_NPA!$L$26</definedName>
    <definedName function="false" hidden="false" name="FHD_NUM_P_A" vbProcedure="false">DATA_NPA!$L$18</definedName>
    <definedName function="false" hidden="false" name="FHD_P_1" vbProcedure="false">DATA_NPA!$M$18</definedName>
    <definedName function="false" hidden="false" name="FHD_P_10" vbProcedure="false">DATA_NPA!$M$27</definedName>
    <definedName function="false" hidden="false" name="FHD_P_11" vbProcedure="false">DATA_NPA!$M$28</definedName>
    <definedName function="false" hidden="false" name="FHD_P_12" vbProcedure="false">DATA_NPA!$M$29</definedName>
    <definedName function="false" hidden="false" name="FHD_P_13" vbProcedure="false">DATA_NPA!$M$30</definedName>
    <definedName function="false" hidden="false" name="FHD_P_14" vbProcedure="false">DATA_NPA!$M$31</definedName>
    <definedName function="false" hidden="false" name="FHD_P_15" vbProcedure="false">DATA_NPA!$M$32</definedName>
    <definedName function="false" hidden="false" name="FHD_P_16" vbProcedure="false">DATA_NPA!$M$33</definedName>
    <definedName function="false" hidden="false" name="FHD_P_17" vbProcedure="false">DATA_NPA!$M$34</definedName>
    <definedName function="false" hidden="false" name="FHD_P_18" vbProcedure="false">DATA_NPA!$M$35</definedName>
    <definedName function="false" hidden="false" name="FHD_P_19" vbProcedure="false">DATA_NPA!$M$36</definedName>
    <definedName function="false" hidden="false" name="FHD_P_2" vbProcedure="false">DATA_NPA!$M$19</definedName>
    <definedName function="false" hidden="false" name="FHD_P_20" vbProcedure="false">DATA_NPA!$M$37</definedName>
    <definedName function="false" hidden="false" name="FHD_P_21" vbProcedure="false">DATA_NPA!$M$38</definedName>
    <definedName function="false" hidden="false" name="FHD_P_22" vbProcedure="false">DATA_NPA!$M$39</definedName>
    <definedName function="false" hidden="false" name="FHD_P_23" vbProcedure="false">DATA_NPA!$M$40</definedName>
    <definedName function="false" hidden="false" name="FHD_P_24" vbProcedure="false">DATA_NPA!$M$41</definedName>
    <definedName function="false" hidden="false" name="FHD_P_25" vbProcedure="false">DATA_NPA!$M$42</definedName>
    <definedName function="false" hidden="false" name="FHD_P_26" vbProcedure="false">DATA_NPA!$M$43</definedName>
    <definedName function="false" hidden="false" name="FHD_P_27" vbProcedure="false">DATA_NPA!$M$44</definedName>
    <definedName function="false" hidden="false" name="FHD_P_28" vbProcedure="false">DATA_NPA!$M$45</definedName>
    <definedName function="false" hidden="false" name="FHD_P_29" vbProcedure="false">DATA_NPA!$M$46</definedName>
    <definedName function="false" hidden="false" name="FHD_P_3" vbProcedure="false">DATA_NPA!$M$20</definedName>
    <definedName function="false" hidden="false" name="FHD_P_30" vbProcedure="false">DATA_NPA!$M$47</definedName>
    <definedName function="false" hidden="false" name="FHD_P_31" vbProcedure="false">DATA_NPA!$M$48</definedName>
    <definedName function="false" hidden="false" name="FHD_P_32" vbProcedure="false">DATA_NPA!$M$49</definedName>
    <definedName function="false" hidden="false" name="FHD_P_33" vbProcedure="false">DATA_NPA!$M$50</definedName>
    <definedName function="false" hidden="false" name="FHD_P_34" vbProcedure="false">DATA_NPA!$M$51</definedName>
    <definedName function="false" hidden="false" name="FHD_P_35" vbProcedure="false">DATA_NPA!$M$52</definedName>
    <definedName function="false" hidden="false" name="FHD_P_36" vbProcedure="false">DATA_NPA!$M$53</definedName>
    <definedName function="false" hidden="false" name="FHD_P_37" vbProcedure="false">DATA_NPA!$M$54</definedName>
    <definedName function="false" hidden="false" name="FHD_P_38" vbProcedure="false">DATA_NPA!$M$55</definedName>
    <definedName function="false" hidden="false" name="FHD_P_39" vbProcedure="false">DATA_NPA!$M$56</definedName>
    <definedName function="false" hidden="false" name="FHD_P_4" vbProcedure="false">DATA_NPA!$M$21</definedName>
    <definedName function="false" hidden="false" name="FHD_P_40" vbProcedure="false">DATA_NPA!$M$57</definedName>
    <definedName function="false" hidden="false" name="FHD_P_41" vbProcedure="false">DATA_NPA!$M$58</definedName>
    <definedName function="false" hidden="false" name="FHD_P_42" vbProcedure="false">DATA_NPA!$M$59</definedName>
    <definedName function="false" hidden="false" name="FHD_P_43" vbProcedure="false">DATA_NPA!$M$60</definedName>
    <definedName function="false" hidden="false" name="FHD_P_44" vbProcedure="false">DATA_NPA!$M$61</definedName>
    <definedName function="false" hidden="false" name="FHD_P_45" vbProcedure="false">DATA_NPA!$M$62</definedName>
    <definedName function="false" hidden="false" name="FHD_P_46" vbProcedure="false">DATA_NPA!$M$63</definedName>
    <definedName function="false" hidden="false" name="FHD_P_47" vbProcedure="false">DATA_NPA!$M$64</definedName>
    <definedName function="false" hidden="false" name="FHD_P_48" vbProcedure="false">DATA_NPA!$M$65</definedName>
    <definedName function="false" hidden="false" name="FHD_P_49" vbProcedure="false">DATA_NPA!$M$66</definedName>
    <definedName function="false" hidden="false" name="FHD_P_5" vbProcedure="false">DATA_NPA!$M$22</definedName>
    <definedName function="false" hidden="false" name="FHD_P_50" vbProcedure="false">DATA_NPA!$M$67</definedName>
    <definedName function="false" hidden="false" name="FHD_P_51" vbProcedure="false">DATA_NPA!$M$68</definedName>
    <definedName function="false" hidden="false" name="FHD_P_52" vbProcedure="false">DATA_NPA!$M$69</definedName>
    <definedName function="false" hidden="false" name="FHD_P_53" vbProcedure="false">DATA_NPA!$M$70</definedName>
    <definedName function="false" hidden="false" name="FHD_P_54" vbProcedure="false">DATA_NPA!$M$71</definedName>
    <definedName function="false" hidden="false" name="FHD_P_55" vbProcedure="false">DATA_NPA!$M$72</definedName>
    <definedName function="false" hidden="false" name="FHD_P_56" vbProcedure="false">DATA_NPA!$M$73</definedName>
    <definedName function="false" hidden="false" name="FHD_P_57" vbProcedure="false">DATA_NPA!$M$74</definedName>
    <definedName function="false" hidden="false" name="FHD_P_58" vbProcedure="false">DATA_NPA!$M$75</definedName>
    <definedName function="false" hidden="false" name="FHD_P_59" vbProcedure="false">DATA_NPA!$M$76</definedName>
    <definedName function="false" hidden="false" name="FHD_P_6" vbProcedure="false">DATA_NPA!$M$23</definedName>
    <definedName function="false" hidden="false" name="FHD_P_60" vbProcedure="false">DATA_NPA!$M$77</definedName>
    <definedName function="false" hidden="false" name="FHD_P_61" vbProcedure="false">DATA_NPA!$M$78</definedName>
    <definedName function="false" hidden="false" name="FHD_P_62" vbProcedure="false">DATA_NPA!$M$79</definedName>
    <definedName function="false" hidden="false" name="FHD_P_63" vbProcedure="false">DATA_NPA!$M$80</definedName>
    <definedName function="false" hidden="false" name="FHD_P_64" vbProcedure="false">DATA_NPA!$M$81</definedName>
    <definedName function="false" hidden="false" name="FHD_P_65" vbProcedure="false">DATA_NPA!$M$82</definedName>
    <definedName function="false" hidden="false" name="FHD_P_66" vbProcedure="false">DATA_NPA!$M$83</definedName>
    <definedName function="false" hidden="false" name="FHD_P_67" vbProcedure="false">DATA_NPA!$M$84</definedName>
    <definedName function="false" hidden="false" name="FHD_P_68" vbProcedure="false">DATA_NPA!$M$85</definedName>
    <definedName function="false" hidden="false" name="FHD_P_69" vbProcedure="false">DATA_NPA!$M$86</definedName>
    <definedName function="false" hidden="false" name="FHD_P_7" vbProcedure="false">DATA_NPA!$M$24</definedName>
    <definedName function="false" hidden="false" name="FHD_P_70" vbProcedure="false">DATA_NPA!$M$87</definedName>
    <definedName function="false" hidden="false" name="FHD_P_71" vbProcedure="false">DATA_NPA!$M$88</definedName>
    <definedName function="false" hidden="false" name="FHD_P_72" vbProcedure="false">DATA_NPA!$M$89</definedName>
    <definedName function="false" hidden="false" name="FHD_P_73" vbProcedure="false">DATA_NPA!$M$90</definedName>
    <definedName function="false" hidden="false" name="FHD_P_74" vbProcedure="false">DATA_NPA!$M$91</definedName>
    <definedName function="false" hidden="false" name="FHD_P_75" vbProcedure="false">DATA_NPA!$M$92</definedName>
    <definedName function="false" hidden="false" name="FHD_P_76" vbProcedure="false">DATA_NPA!$M$93</definedName>
    <definedName function="false" hidden="false" name="FHD_P_77" vbProcedure="false">DATA_NPA!$M$94</definedName>
    <definedName function="false" hidden="false" name="FHD_P_78" vbProcedure="false">DATA_NPA!$M$95</definedName>
    <definedName function="false" hidden="false" name="FHD_P_79" vbProcedure="false">DATA_NPA!$M$96</definedName>
    <definedName function="false" hidden="false" name="FHD_P_8" vbProcedure="false">DATA_NPA!$M$25</definedName>
    <definedName function="false" hidden="false" name="FHD_P_80" vbProcedure="false">DATA_NPA!$M$97</definedName>
    <definedName function="false" hidden="false" name="FHD_P_81" vbProcedure="false">DATA_NPA!$M$98</definedName>
    <definedName function="false" hidden="false" name="FHD_P_82" vbProcedure="false">DATA_NPA!$M$99</definedName>
    <definedName function="false" hidden="false" name="FHD_P_83" vbProcedure="false">DATA_NPA!$M$100</definedName>
    <definedName function="false" hidden="false" name="FHD_P_84" vbProcedure="false">DATA_NPA!$M$101</definedName>
    <definedName function="false" hidden="false" name="FHD_P_9" vbProcedure="false">DATA_NPA!$M$26</definedName>
    <definedName function="false" hidden="false" name="FHD_P_A" vbProcedure="false">DATA_NPA!$M$18</definedName>
    <definedName function="false" hidden="false" name="fil" vbProcedure="false">Титульный!$F$32</definedName>
    <definedName function="false" hidden="false" name="flag_Q_LIMIT_p3" vbProcedure="false">Ограничения!$F$36:$K$36</definedName>
    <definedName function="false" hidden="false" name="flag_Q_LIMIT_p4" vbProcedure="false">Ограничения!$F$38:$K$38</definedName>
    <definedName function="false" hidden="false" name="f_quart" vbProcedure="false">Титульный!$F$15</definedName>
    <definedName function="false" hidden="false" name="f_year" vbProcedure="false">Титульный!$F$14</definedName>
    <definedName function="false" hidden="false" name="HEAT_FIN_SRC_LIST" vbProcedure="false">TEHSHEET!$BH$4:$BH$26</definedName>
    <definedName function="false" hidden="false" name="HEAT_FIN_SRC_VLD_LIST" vbProcedure="false">TEHSHEET!$BH$39:$BH$54</definedName>
    <definedName function="false" hidden="false" name="HEAT_IP_EVENT_CI_STAGE_LIST" vbProcedure="false">TEHSHEET!$BH$97:$BH$99</definedName>
    <definedName function="false" hidden="false" name="HEAT_IP_EVENT_GROUP_LIST" vbProcedure="false">TEHSHEET!$BH$69:$BH$76</definedName>
    <definedName function="false" hidden="false" name="HEAT_IP_EVENT_SUBGROUP_1_LIST" vbProcedure="false">TEHSHEET!$BH$80:$BH$83</definedName>
    <definedName function="false" hidden="false" name="HEAT_IP_EVENT_SUBGROUP_3_LIST" vbProcedure="false">TEHSHEET!$BH$87:$BH$88</definedName>
    <definedName function="false" hidden="false" name="HEAT_IP_EVENT_SUBGROUP_5_LIST" vbProcedure="false">TEHSHEET!$BH$92:$BH$93</definedName>
    <definedName function="false" hidden="false" name="HEAT_IP_EVENT_TYPE_LIST" vbProcedure="false">TEHSHEET!$BH$108:$BH$110</definedName>
    <definedName function="false" hidden="false" name="HEAT_PT_SCHEME" vbProcedure="false">TEHSHEET!$BH$115:$BH$118</definedName>
    <definedName function="false" hidden="false" name="HEAT_PT_TARIFF_ID" vbProcedure="false">TEHSHEET!$BQ$5:$BQ$14</definedName>
    <definedName function="false" hidden="false" name="HEAT_PT_TARIFF_NAME" vbProcedure="false">TEHSHEET!$BR$5:$BR$14</definedName>
    <definedName function="false" hidden="false" name="HEAT_PT_TARIFF_NAME_LIST" vbProcedure="false">TEHSHEET!$BQ$5:$BR$14</definedName>
    <definedName function="false" hidden="false" name="HEAT_PT_VED_ID" vbProcedure="false">TEHSHEET!$BQ$19:$BQ$28</definedName>
    <definedName function="false" hidden="false" name="HEAT_PT_VED_NAME" vbProcedure="false">TEHSHEET!$BR$19:$BR$28</definedName>
    <definedName function="false" hidden="false" name="HEAT_PT_VED_NAME_LIST" vbProcedure="false">TEHSHEET!$BQ$19:$BR$28</definedName>
    <definedName function="false" hidden="false" name="HEAT_TARIFF_A_ADD_HL_COLUMN_MARKER" vbProcedure="false">'ТС. Т-ТЭ | &gt;=25МВт'!$T$36</definedName>
    <definedName function="false" hidden="false" name="HEAT_TARIFF_A_DELETE_PERIOD_ROW_MARKER" vbProcedure="false">'ТС. Т-ТЭ | &gt;=25МВт'!$O$37</definedName>
    <definedName function="false" hidden="false" name="HEAT_TARIFF_A_DEL_HL_GC_COLUMN_MARKER" vbProcedure="false">'ТС. Т-ТЭ | &gt;=25МВт'!$Q$36</definedName>
    <definedName function="false" hidden="false" name="HEAT_TARIFF_A_DEL_HL_SCHEME_COLUMN_MARKER" vbProcedure="false">'ТС. Т-ТЭ | &gt;=25МВт'!$P$36</definedName>
    <definedName function="false" hidden="false" name="HEAT_TARIFF_A_DEL_HL_TN_COLUMN_MARKER" vbProcedure="false">'ТС. Т-ТЭ | &gt;=25МВт'!$R$36</definedName>
    <definedName function="false" hidden="false" name="HEAT_TARIFF_A_FLAG_BLOCK_COLUMN_MARKER" vbProcedure="false">'ТС. Т-ТЭ | &gt;=25МВт'!$L$41</definedName>
    <definedName function="false" hidden="false" name="HEAT_TARIFF_A_FLAG_BLOCK_ROW_MARKER" vbProcedure="false">'ТС. Т-ТЭ | &gt;=25МВт'!$O$22</definedName>
    <definedName function="false" hidden="false" name="HEAT_TARIFF_A_NUM_CS_COLUMN_MARKER" vbProcedure="false">'ТС. Т-ТЭ | &gt;=25МВт'!$G$41</definedName>
    <definedName function="false" hidden="false" name="HEAT_TARIFF_A_NUM_GC_COLUMN_MARKER" vbProcedure="false">'ТС. Т-ТЭ | &gt;=25МВт'!$J$41</definedName>
    <definedName function="false" hidden="false" name="HEAT_TARIFF_A_NUM_IST_TE_COLUMN_MARKER" vbProcedure="false">'ТС. Т-ТЭ | &gt;=25МВт'!$H$41</definedName>
    <definedName function="false" hidden="false" name="HEAT_TARIFF_A_NUM_NTAR_COLUMN_MARKER" vbProcedure="false">'ТС. Т-ТЭ | &gt;=25МВт'!$E$41</definedName>
    <definedName function="false" hidden="false" name="HEAT_TARIFF_A_NUM_SCHEME_COLUMN_MARKER" vbProcedure="false">'ТС. Т-ТЭ | &gt;=25МВт'!$I$41</definedName>
    <definedName function="false" hidden="false" name="HEAT_TARIFF_A_NUM_TER_COLUMN_MARKER" vbProcedure="false">'ТС. Т-ТЭ | &gt;=25МВт'!$F$41</definedName>
    <definedName function="false" hidden="false" name="HEAT_TARIFF_A_NUM_TN_COLUMN_MARKER" vbProcedure="false">'ТС. Т-ТЭ | &gt;=25МВт'!$K$41</definedName>
    <definedName function="false" hidden="false" name="HEAT_TARIFF_B_ADD_HL_COLUMN_MARKER" vbProcedure="false">'ТС. Т-ТЭ | ТСО'!$T$36</definedName>
    <definedName function="false" hidden="false" name="HEAT_TARIFF_B_DELETE_PERIOD_ROW_MARKER" vbProcedure="false">'ТС. Т-ТЭ | ТСО'!$O$37</definedName>
    <definedName function="false" hidden="false" name="HEAT_TARIFF_B_DEL_HL_GC_COLUMN_MARKER" vbProcedure="false">'ТС. Т-ТЭ | ТСО'!$Q$36</definedName>
    <definedName function="false" hidden="false" name="HEAT_TARIFF_B_DEL_HL_SCHEME_COLUMN_MARKER" vbProcedure="false">'ТС. Т-ТЭ | ТСО'!$P$36</definedName>
    <definedName function="false" hidden="false" name="HEAT_TARIFF_B_DEL_HL_TN_COLUMN_MARKER" vbProcedure="false">'ТС. Т-ТЭ | ТСО'!$R$36</definedName>
    <definedName function="false" hidden="false" name="HEAT_TARIFF_B_FLAG_BLOCK_COLUMN_MARKER" vbProcedure="false">'ТС. Т-ТЭ | ТСО'!$L$41</definedName>
    <definedName function="false" hidden="false" name="HEAT_TARIFF_B_FLAG_BLOCK_ROW_MARKER" vbProcedure="false">'ТС. Т-ТЭ | ТСО'!$O$22</definedName>
    <definedName function="false" hidden="false" name="HEAT_TARIFF_B_NUM_CS_COLUMN_MARKER" vbProcedure="false">'ТС. Т-ТЭ | ТСО'!$G$41</definedName>
    <definedName function="false" hidden="false" name="HEAT_TARIFF_B_NUM_GC_COLUMN_MARKER" vbProcedure="false">'ТС. Т-ТЭ | ТСО'!$J$41</definedName>
    <definedName function="false" hidden="false" name="HEAT_TARIFF_B_NUM_IST_TE_COLUMN_MARKER" vbProcedure="false">'ТС. Т-ТЭ | ТСО'!$H$41</definedName>
    <definedName function="false" hidden="false" name="HEAT_TARIFF_B_NUM_NTAR_COLUMN_MARKER" vbProcedure="false">'ТС. Т-ТЭ | ТСО'!$E$41</definedName>
    <definedName function="false" hidden="false" name="HEAT_TARIFF_B_NUM_SCHEME_COLUMN_MARKER" vbProcedure="false">'ТС. Т-ТЭ | ТСО'!$I$41</definedName>
    <definedName function="false" hidden="false" name="HEAT_TARIFF_B_NUM_TER_COLUMN_MARKER" vbProcedure="false">'ТС. Т-ТЭ | ТСО'!$F$41</definedName>
    <definedName function="false" hidden="false" name="HEAT_TARIFF_B_NUM_TN_COLUMN_MARKER" vbProcedure="false">'ТС. Т-ТЭ | ТСО'!$K$41</definedName>
    <definedName function="false" hidden="false" name="HEAT_TARIFF_C_ADD_HL_COLUMN_MARKER" vbProcedure="false">'ТС. Т-ТН'!$T$36</definedName>
    <definedName function="false" hidden="false" name="HEAT_TARIFF_C_DELETE_PERIOD_ROW_MARKER" vbProcedure="false">'ТС. Т-ТН'!$O$37</definedName>
    <definedName function="false" hidden="false" name="HEAT_TARIFF_C_DEL_HL_GC_COLUMN_MARKER" vbProcedure="false">'ТС. Т-ТН'!$Q$36</definedName>
    <definedName function="false" hidden="false" name="HEAT_TARIFF_C_DEL_HL_SCHEME_COLUMN_MARKER" vbProcedure="false">'ТС. Т-ТН'!$P$36</definedName>
    <definedName function="false" hidden="false" name="HEAT_TARIFF_C_DEL_HL_TN_COLUMN_MARKER" vbProcedure="false">'ТС. Т-ТН'!$R$36</definedName>
    <definedName function="false" hidden="false" name="HEAT_TARIFF_C_FLAG_BLOCK_COLUMN_MARKER" vbProcedure="false">'ТС. Т-ТН'!$L$41</definedName>
    <definedName function="false" hidden="false" name="HEAT_TARIFF_C_FLAG_BLOCK_ROW_MARKER" vbProcedure="false">'ТС. Т-ТН'!$O$22</definedName>
    <definedName function="false" hidden="false" name="HEAT_TARIFF_C_NUM_CS_COLUMN_MARKER" vbProcedure="false">'ТС. Т-ТН'!$G$41</definedName>
    <definedName function="false" hidden="false" name="HEAT_TARIFF_C_NUM_GC_COLUMN_MARKER" vbProcedure="false">'ТС. Т-ТН'!$J$41</definedName>
    <definedName function="false" hidden="false" name="HEAT_TARIFF_C_NUM_IST_TE_COLUMN_MARKER" vbProcedure="false">'ТС. Т-ТН'!$H$41</definedName>
    <definedName function="false" hidden="false" name="HEAT_TARIFF_C_NUM_NTAR_COLUMN_MARKER" vbProcedure="false">'ТС. Т-ТН'!$E$41</definedName>
    <definedName function="false" hidden="false" name="HEAT_TARIFF_C_NUM_SCHEME_COLUMN_MARKER" vbProcedure="false">'ТС. Т-ТН'!$I$41</definedName>
    <definedName function="false" hidden="false" name="HEAT_TARIFF_C_NUM_TER_COLUMN_MARKER" vbProcedure="false">'ТС. Т-ТН'!$F$41</definedName>
    <definedName function="false" hidden="false" name="HEAT_TARIFF_C_NUM_TN_COLUMN_MARKER" vbProcedure="false">'ТС. Т-ТН'!$K$41</definedName>
    <definedName function="false" hidden="false" name="HEAT_TARIFF_D_ADD_HL_COLUMN_MARKER" vbProcedure="false">'ТС. Т-гор.вода'!$V$40</definedName>
    <definedName function="false" hidden="false" name="HEAT_TARIFF_D_DELETE_PERIOD_ROW_MARKER" vbProcedure="false">'ТС. Т-гор.вода'!$P$41</definedName>
    <definedName function="false" hidden="false" name="HEAT_TARIFF_D_DEL_HL_CONS_COLUMN_MARKER" vbProcedure="false">'ТС. Т-гор.вода'!$T$40</definedName>
    <definedName function="false" hidden="false" name="HEAT_TARIFF_D_DEL_HL_GC_COLUMN_MARKER" vbProcedure="false">'ТС. Т-гор.вода'!$R$40</definedName>
    <definedName function="false" hidden="false" name="HEAT_TARIFF_D_DEL_HL_SCHEME_COLUMN_MARKER" vbProcedure="false">'ТС. Т-гор.вода'!$Q$40</definedName>
    <definedName function="false" hidden="false" name="HEAT_TARIFF_D_DEL_HL_TN_COLUMN_MARKER" vbProcedure="false">'ТС. Т-гор.вода'!$S$40</definedName>
    <definedName function="false" hidden="false" name="HEAT_TARIFF_D_FLAG_BLOCK_COLUMN_MARKER" vbProcedure="false">'ТС. Т-гор.вода'!$M$47</definedName>
    <definedName function="false" hidden="false" name="HEAT_TARIFF_D_FLAG_BLOCK_ROW_MARKER" vbProcedure="false">'ТС. Т-гор.вода'!$P$26</definedName>
    <definedName function="false" hidden="false" name="HEAT_TARIFF_D_NUM_CONS_COLUMN_MARKER" vbProcedure="false">'ТС. Т-гор.вода'!$L$47</definedName>
    <definedName function="false" hidden="false" name="HEAT_TARIFF_D_NUM_CS_COLUMN_MARKER" vbProcedure="false">'ТС. Т-гор.вода'!$G$47</definedName>
    <definedName function="false" hidden="false" name="HEAT_TARIFF_D_NUM_GC_COLUMN_MARKER" vbProcedure="false">'ТС. Т-гор.вода'!$J$47</definedName>
    <definedName function="false" hidden="false" name="HEAT_TARIFF_D_NUM_IST_TE_COLUMN_MARKER" vbProcedure="false">'ТС. Т-гор.вода'!$H$47</definedName>
    <definedName function="false" hidden="false" name="HEAT_TARIFF_D_NUM_NTAR_COLUMN_MARKER" vbProcedure="false">'ТС. Т-гор.вода'!$E$47</definedName>
    <definedName function="false" hidden="false" name="HEAT_TARIFF_D_NUM_SCHEME_COLUMN_MARKER" vbProcedure="false">'ТС. Т-гор.вода'!$I$47</definedName>
    <definedName function="false" hidden="false" name="HEAT_TARIFF_D_NUM_TER_COLUMN_MARKER" vbProcedure="false">'ТС. Т-гор.вода'!$F$47</definedName>
    <definedName function="false" hidden="false" name="HEAT_TARIFF_D_NUM_TN_COLUMN_MARKER" vbProcedure="false">'ТС. Т-гор.вода'!$K$47</definedName>
    <definedName function="false" hidden="false" name="HEAT_TARIFF_E1_ADD_HL_COLUMN_MARKER" vbProcedure="false">'ТС. Т-передача ТЭ'!$T$36</definedName>
    <definedName function="false" hidden="false" name="HEAT_TARIFF_E1_DELETE_PERIOD_ROW_MARKER" vbProcedure="false">'ТС. Т-передача ТЭ'!$O$37</definedName>
    <definedName function="false" hidden="false" name="HEAT_TARIFF_E1_DEL_HL_GC_COLUMN_MARKER" vbProcedure="false">'ТС. Т-передача ТЭ'!$Q$36</definedName>
    <definedName function="false" hidden="false" name="HEAT_TARIFF_E1_DEL_HL_SCHEME_COLUMN_MARKER" vbProcedure="false">'ТС. Т-передача ТЭ'!$P$36</definedName>
    <definedName function="false" hidden="false" name="HEAT_TARIFF_E1_DEL_HL_TN_COLUMN_MARKER" vbProcedure="false">'ТС. Т-передача ТЭ'!$R$36</definedName>
    <definedName function="false" hidden="false" name="HEAT_TARIFF_E1_FLAG_BLOCK_COLUMN_MARKER" vbProcedure="false">'ТС. Т-передача ТЭ'!$L$41</definedName>
    <definedName function="false" hidden="false" name="HEAT_TARIFF_E1_FLAG_BLOCK_ROW_MARKER" vbProcedure="false">'ТС. Т-передача ТЭ'!$O$22</definedName>
    <definedName function="false" hidden="false" name="HEAT_TARIFF_E1_NUM_CS_COLUMN_MARKER" vbProcedure="false">'ТС. Т-передача ТЭ'!$G$41</definedName>
    <definedName function="false" hidden="false" name="HEAT_TARIFF_E1_NUM_GC_COLUMN_MARKER" vbProcedure="false">'ТС. Т-передача ТЭ'!$J$41</definedName>
    <definedName function="false" hidden="false" name="HEAT_TARIFF_E1_NUM_IST_TE_COLUMN_MARKER" vbProcedure="false">'ТС. Т-передача ТЭ'!$H$41</definedName>
    <definedName function="false" hidden="false" name="HEAT_TARIFF_E1_NUM_NTAR_COLUMN_MARKER" vbProcedure="false">'ТС. Т-передача ТЭ'!$E$41</definedName>
    <definedName function="false" hidden="false" name="HEAT_TARIFF_E1_NUM_SCHEME_COLUMN_MARKER" vbProcedure="false">'ТС. Т-передача ТЭ'!$I$41</definedName>
    <definedName function="false" hidden="false" name="HEAT_TARIFF_E1_NUM_TER_COLUMN_MARKER" vbProcedure="false">'ТС. Т-передача ТЭ'!$F$41</definedName>
    <definedName function="false" hidden="false" name="HEAT_TARIFF_E1_NUM_TN_COLUMN_MARKER" vbProcedure="false">'ТС. Т-передача ТЭ'!$K$41</definedName>
    <definedName function="false" hidden="false" name="HEAT_TARIFF_E2_ADD_HL_COLUMN_MARKER" vbProcedure="false">'ТС. Т-передача ТН'!$T$36</definedName>
    <definedName function="false" hidden="false" name="HEAT_TARIFF_E2_DELETE_PERIOD_ROW_MARKER" vbProcedure="false">'ТС. Т-передача ТН'!$O$37</definedName>
    <definedName function="false" hidden="false" name="HEAT_TARIFF_E2_DEL_HL_GC_COLUMN_MARKER" vbProcedure="false">'ТС. Т-передача ТН'!$Q$36</definedName>
    <definedName function="false" hidden="false" name="HEAT_TARIFF_E2_DEL_HL_SCHEME_COLUMN_MARKER" vbProcedure="false">'ТС. Т-передача ТН'!$P$36</definedName>
    <definedName function="false" hidden="false" name="HEAT_TARIFF_E2_DEL_HL_TN_COLUMN_MARKER" vbProcedure="false">'ТС. Т-передача ТН'!$R$36</definedName>
    <definedName function="false" hidden="false" name="HEAT_TARIFF_E2_FLAG_BLOCK_COLUMN_MARKER" vbProcedure="false">'ТС. Т-передача ТН'!$L$41</definedName>
    <definedName function="false" hidden="false" name="HEAT_TARIFF_E2_FLAG_BLOCK_ROW_MARKER" vbProcedure="false">'ТС. Т-передача ТН'!$O$22</definedName>
    <definedName function="false" hidden="false" name="HEAT_TARIFF_E2_NUM_CS_COLUMN_MARKER" vbProcedure="false">'ТС. Т-передача ТН'!$G$41</definedName>
    <definedName function="false" hidden="false" name="HEAT_TARIFF_E2_NUM_GC_COLUMN_MARKER" vbProcedure="false">'ТС. Т-передача ТН'!$J$41</definedName>
    <definedName function="false" hidden="false" name="HEAT_TARIFF_E2_NUM_IST_TE_COLUMN_MARKER" vbProcedure="false">'ТС. Т-передача ТН'!$H$41</definedName>
    <definedName function="false" hidden="false" name="HEAT_TARIFF_E2_NUM_NTAR_COLUMN_MARKER" vbProcedure="false">'ТС. Т-передача ТН'!$E$41</definedName>
    <definedName function="false" hidden="false" name="HEAT_TARIFF_E2_NUM_SCHEME_COLUMN_MARKER" vbProcedure="false">'ТС. Т-передача ТН'!$I$41</definedName>
    <definedName function="false" hidden="false" name="HEAT_TARIFF_E2_NUM_TER_COLUMN_MARKER" vbProcedure="false">'ТС. Т-передача ТН'!$F$41</definedName>
    <definedName function="false" hidden="false" name="HEAT_TARIFF_E2_NUM_TN_COLUMN_MARKER" vbProcedure="false">'ТС. Т-передача ТН'!$K$41</definedName>
    <definedName function="false" hidden="false" name="HEAT_TARIFF_F_ADD_HL_COLUMN_MARKER" vbProcedure="false">'ТС. Резерв мощности'!$T$36</definedName>
    <definedName function="false" hidden="false" name="HEAT_TARIFF_F_DELETE_PERIOD_ROW_MARKER" vbProcedure="false">'ТС. Резерв мощности'!$O$37</definedName>
    <definedName function="false" hidden="false" name="HEAT_TARIFF_F_DEL_HL_GC_COLUMN_MARKER" vbProcedure="false">'ТС. Резерв мощности'!$Q$36</definedName>
    <definedName function="false" hidden="false" name="HEAT_TARIFF_F_DEL_HL_SCHEME_COLUMN_MARKER" vbProcedure="false">'ТС. Резерв мощности'!$P$36</definedName>
    <definedName function="false" hidden="false" name="HEAT_TARIFF_F_DEL_HL_TN_COLUMN_MARKER" vbProcedure="false">'ТС. Резерв мощности'!$R$36</definedName>
    <definedName function="false" hidden="false" name="HEAT_TARIFF_F_FLAG_BLOCK_COLUMN_MARKER" vbProcedure="false">'ТС. Резерв мощности'!$L$41</definedName>
    <definedName function="false" hidden="false" name="HEAT_TARIFF_F_FLAG_BLOCK_ROW_MARKER" vbProcedure="false">'ТС. Резерв мощности'!$O$22</definedName>
    <definedName function="false" hidden="false" name="HEAT_TARIFF_F_NUM_CS_COLUMN_MARKER" vbProcedure="false">'ТС. Резерв мощности'!$G$41</definedName>
    <definedName function="false" hidden="false" name="HEAT_TARIFF_F_NUM_GC_COLUMN_MARKER" vbProcedure="false">'ТС. Резерв мощности'!$J$41</definedName>
    <definedName function="false" hidden="false" name="HEAT_TARIFF_F_NUM_IST_TE_COLUMN_MARKER" vbProcedure="false">'ТС. Резерв мощности'!$H$41</definedName>
    <definedName function="false" hidden="false" name="HEAT_TARIFF_F_NUM_NTAR_COLUMN_MARKER" vbProcedure="false">'ТС. Резерв мощности'!$E$41</definedName>
    <definedName function="false" hidden="false" name="HEAT_TARIFF_F_NUM_SCHEME_COLUMN_MARKER" vbProcedure="false">'ТС. Резерв мощности'!$I$41</definedName>
    <definedName function="false" hidden="false" name="HEAT_TARIFF_F_NUM_TER_COLUMN_MARKER" vbProcedure="false">'ТС. Резерв мощности'!$F$41</definedName>
    <definedName function="false" hidden="false" name="HEAT_TARIFF_F_NUM_TN_COLUMN_MARKER" vbProcedure="false">'ТС. Резерв мощности'!$K$41</definedName>
    <definedName function="false" hidden="false" name="HEAT_TARIFF_G_ADD_HL_COLUMN_MARKER" vbProcedure="false">'ТС. Т-подкл'!$T$37</definedName>
    <definedName function="false" hidden="false" name="HEAT_TARIFF_G_ADD_HL_DIAMETERS_COLUMN_MARKER" vbProcedure="false">'ТС. Т-подкл'!$AM$37</definedName>
    <definedName function="false" hidden="false" name="HEAT_TARIFF_G_ADD_HL_LOAD_COLUMN_MARKER" vbProcedure="false">'ТС. Т-подкл'!$AE$37</definedName>
    <definedName function="false" hidden="false" name="HEAT_TARIFF_G_ADD_HL_NETS_COLUMN_MARKER" vbProcedure="false">'ТС. Т-подкл'!$AI$37</definedName>
    <definedName function="false" hidden="false" name="HEAT_TARIFF_G_DELETE_PERIOD_ROW_MARKER" vbProcedure="false">'ТС. Т-подкл'!$O$38</definedName>
    <definedName function="false" hidden="false" name="HEAT_TARIFF_G_DEL_HL_DIAMETERS_COLUMN_MARKER" vbProcedure="false">'ТС. Т-подкл'!$AK$37</definedName>
    <definedName function="false" hidden="false" name="HEAT_TARIFF_G_DEL_HL_GC_COLUMN_MARKER" vbProcedure="false">'ТС. Т-подкл'!$Q$37</definedName>
    <definedName function="false" hidden="false" name="HEAT_TARIFF_G_DEL_HL_LOAD_COLUMN_MARKER" vbProcedure="false">'ТС. Т-подкл'!$AC$37</definedName>
    <definedName function="false" hidden="false" name="HEAT_TARIFF_G_DEL_HL_NETS_COLUMN_MARKER" vbProcedure="false">'ТС. Т-подкл'!$AG$37</definedName>
    <definedName function="false" hidden="false" name="HEAT_TARIFF_G_DEL_HL_SCHEME_COLUMN_MARKER" vbProcedure="false">'ТС. Т-подкл'!$P$37</definedName>
    <definedName function="false" hidden="false" name="HEAT_TARIFF_G_DEL_HL_TN_COLUMN_MARKER" vbProcedure="false">'ТС. Т-подкл'!$R$37</definedName>
    <definedName function="false" hidden="false" name="HEAT_TARIFF_G_FLAG_BLOCK_COLUMN_MARKER" vbProcedure="false">'ТС. Т-подкл'!$L$43</definedName>
    <definedName function="false" hidden="false" name="HEAT_TARIFF_G_FLAG_BLOCK_ROW_MARKER" vbProcedure="false">'ТС. Т-подкл'!$O$23</definedName>
    <definedName function="false" hidden="false" name="HEAT_TARIFF_G_NUM_CS_COLUMN_MARKER" vbProcedure="false">'ТС. Т-подкл'!$G$43</definedName>
    <definedName function="false" hidden="false" name="HEAT_TARIFF_G_NUM_DIAMETERS_COLUMN_MARKER" vbProcedure="false">'ТС. Т-подкл'!$AL$37</definedName>
    <definedName function="false" hidden="false" name="HEAT_TARIFF_G_NUM_GC_COLUMN_MARKER" vbProcedure="false">'ТС. Т-подкл'!$J$43</definedName>
    <definedName function="false" hidden="false" name="HEAT_TARIFF_G_NUM_IST_TE_COLUMN_MARKER" vbProcedure="false">'ТС. Т-подкл'!$H$43</definedName>
    <definedName function="false" hidden="false" name="HEAT_TARIFF_G_NUM_LOAD_COLUMN_MARKER" vbProcedure="false">'ТС. Т-подкл'!$AD$37</definedName>
    <definedName function="false" hidden="false" name="HEAT_TARIFF_G_NUM_NETS_COLUMN_MARKER" vbProcedure="false">'ТС. Т-подкл'!$AH$37</definedName>
    <definedName function="false" hidden="false" name="HEAT_TARIFF_G_NUM_NTAR_COLUMN_MARKER" vbProcedure="false">'ТС. Т-подкл'!$E$43</definedName>
    <definedName function="false" hidden="false" name="HEAT_TARIFF_G_NUM_SCHEME_COLUMN_MARKER" vbProcedure="false">'ТС. Т-подкл'!$I$43</definedName>
    <definedName function="false" hidden="false" name="HEAT_TARIFF_G_NUM_TER_COLUMN_MARKER" vbProcedure="false">'ТС. Т-подкл'!$F$43</definedName>
    <definedName function="false" hidden="false" name="HEAT_TARIFF_G_NUM_TN_COLUMN_MARKER" vbProcedure="false">'ТС. Т-подкл'!$K$43</definedName>
    <definedName function="false" hidden="false" name="HEAT_TARIFF_H_ADD_HL_COLUMN_MARKER" vbProcedure="false">'ТС. Т-подкл(инд)'!$T$34</definedName>
    <definedName function="false" hidden="false" name="HEAT_TARIFF_H_ADD_HL_DIAMETERS_COLUMN_MARKER" vbProcedure="false">'ТС. Т-подкл(инд)'!$AO$34</definedName>
    <definedName function="false" hidden="false" name="HEAT_TARIFF_H_ADD_HL_LOAD_COLUMN_MARKER" vbProcedure="false">'ТС. Т-подкл(инд)'!$AM$34</definedName>
    <definedName function="false" hidden="false" name="HEAT_TARIFF_H_ADD_HL_NETS_COLUMN_MARKER" vbProcedure="false">'ТС. Т-подкл(инд)'!$AN$34</definedName>
    <definedName function="false" hidden="false" name="HEAT_TARIFF_H_DELETE_PERIOD_ROW_MARKER" vbProcedure="false">'ТС. Т-подкл(инд)'!$O$35</definedName>
    <definedName function="false" hidden="false" name="HEAT_TARIFF_H_DEL_HL_DIAMETERS_COLUMN_MARKER" vbProcedure="false">'ТС. Т-подкл(инд)'!$AO$34</definedName>
    <definedName function="false" hidden="false" name="HEAT_TARIFF_H_DEL_HL_GC_COLUMN_MARKER" vbProcedure="false">'ТС. Т-подкл(инд)'!$Q$34</definedName>
    <definedName function="false" hidden="false" name="HEAT_TARIFF_H_DEL_HL_LOAD_COLUMN_MARKER" vbProcedure="false">'ТС. Т-подкл(инд)'!$AM$34</definedName>
    <definedName function="false" hidden="false" name="HEAT_TARIFF_H_DEL_HL_NETS_COLUMN_MARKER" vbProcedure="false">'ТС. Т-подкл(инд)'!$AN$34</definedName>
    <definedName function="false" hidden="false" name="HEAT_TARIFF_H_DEL_HL_SCHEME_COLUMN_MARKER" vbProcedure="false">'ТС. Т-подкл(инд)'!$P$34</definedName>
    <definedName function="false" hidden="false" name="HEAT_TARIFF_H_DEL_HL_TN_COLUMN_MARKER" vbProcedure="false">'ТС. Т-подкл(инд)'!$R$34</definedName>
    <definedName function="false" hidden="false" name="HEAT_TARIFF_H_FLAG_BLOCK_COLUMN_MARKER" vbProcedure="false">'ТС. Т-подкл(инд)'!$L$40</definedName>
    <definedName function="false" hidden="false" name="HEAT_TARIFF_H_FLAG_BLOCK_ROW_MARKER" vbProcedure="false">'ТС. Т-подкл(инд)'!$O$20</definedName>
    <definedName function="false" hidden="false" name="HEAT_TARIFF_H_NUM_CS_COLUMN_MARKER" vbProcedure="false">'ТС. Т-подкл(инд)'!$G$40</definedName>
    <definedName function="false" hidden="false" name="HEAT_TARIFF_H_NUM_DIAMETERS_COLUMN_MARKER" vbProcedure="false">'ТС. Т-подкл(инд)'!$AO$34</definedName>
    <definedName function="false" hidden="false" name="HEAT_TARIFF_H_NUM_GC_COLUMN_MARKER" vbProcedure="false">'ТС. Т-подкл(инд)'!$J$40</definedName>
    <definedName function="false" hidden="false" name="HEAT_TARIFF_H_NUM_IST_TE_COLUMN_MARKER" vbProcedure="false">'ТС. Т-подкл(инд)'!$H$40</definedName>
    <definedName function="false" hidden="false" name="HEAT_TARIFF_H_NUM_LOAD_COLUMN_MARKER" vbProcedure="false">'ТС. Т-подкл(инд)'!$AM$34</definedName>
    <definedName function="false" hidden="false" name="HEAT_TARIFF_H_NUM_NETS_COLUMN_MARKER" vbProcedure="false">'ТС. Т-подкл(инд)'!$AN$34</definedName>
    <definedName function="false" hidden="false" name="HEAT_TARIFF_H_NUM_NTAR_COLUMN_MARKER" vbProcedure="false">'ТС. Т-подкл(инд)'!$E$40</definedName>
    <definedName function="false" hidden="false" name="HEAT_TARIFF_H_NUM_SCHEME_COLUMN_MARKER" vbProcedure="false">'ТС. Т-подкл(инд)'!$I$40</definedName>
    <definedName function="false" hidden="false" name="HEAT_TARIFF_H_NUM_TER_COLUMN_MARKER" vbProcedure="false">'ТС. Т-подкл(инд)'!$F$40</definedName>
    <definedName function="false" hidden="false" name="HEAT_TARIFF_H_NUM_TN_COLUMN_MARKER" vbProcedure="false">'ТС. Т-подкл(инд)'!$K$40</definedName>
    <definedName function="false" hidden="false" name="HEAT_TARIFF_I_1_ADD_HL_COLUMN_MARKER" vbProcedure="false">'ТС. Т-ТЭ | индикат'!$T$36</definedName>
    <definedName function="false" hidden="false" name="HEAT_TARIFF_I_1_DELETE_PERIOD_ROW_MARKER" vbProcedure="false">'ТС. Т-ТЭ | индикат'!$O$37</definedName>
    <definedName function="false" hidden="false" name="HEAT_TARIFF_I_1_DEL_HL_GC_COLUMN_MARKER" vbProcedure="false">'ТС. Т-ТЭ | индикат'!$Q$36</definedName>
    <definedName function="false" hidden="false" name="HEAT_TARIFF_I_1_DEL_HL_SCHEME_COLUMN_MARKER" vbProcedure="false">'ТС. Т-ТЭ | индикат'!$P$36</definedName>
    <definedName function="false" hidden="false" name="HEAT_TARIFF_I_1_DEL_HL_TN_COLUMN_MARKER" vbProcedure="false">'ТС. Т-ТЭ | индикат'!$R$36</definedName>
    <definedName function="false" hidden="false" name="HEAT_TARIFF_I_1_FLAG_BLOCK_COLUMN_MARKER" vbProcedure="false">'ТС. Т-ТЭ | индикат'!$L$41</definedName>
    <definedName function="false" hidden="false" name="HEAT_TARIFF_I_1_FLAG_BLOCK_ROW_MARKER" vbProcedure="false">'ТС. Т-ТЭ | индикат'!$O$22</definedName>
    <definedName function="false" hidden="false" name="HEAT_TARIFF_I_1_NUM_CS_COLUMN_MARKER" vbProcedure="false">'ТС. Т-ТЭ | индикат'!$G$41</definedName>
    <definedName function="false" hidden="false" name="HEAT_TARIFF_I_1_NUM_GC_COLUMN_MARKER" vbProcedure="false">'ТС. Т-ТЭ | индикат'!$J$41</definedName>
    <definedName function="false" hidden="false" name="HEAT_TARIFF_I_1_NUM_IST_TE_COLUMN_MARKER" vbProcedure="false">'ТС. Т-ТЭ | индикат'!$H$41</definedName>
    <definedName function="false" hidden="false" name="HEAT_TARIFF_I_1_NUM_NTAR_COLUMN_MARKER" vbProcedure="false">'ТС. Т-ТЭ | индикат'!$E$41</definedName>
    <definedName function="false" hidden="false" name="HEAT_TARIFF_I_1_NUM_SCHEME_COLUMN_MARKER" vbProcedure="false">'ТС. Т-ТЭ | индикат'!$I$41</definedName>
    <definedName function="false" hidden="false" name="HEAT_TARIFF_I_1_NUM_TER_COLUMN_MARKER" vbProcedure="false">'ТС. Т-ТЭ | индикат'!$F$41</definedName>
    <definedName function="false" hidden="false" name="HEAT_TARIFF_I_1_NUM_TN_COLUMN_MARKER" vbProcedure="false">'ТС. Т-ТЭ | индикат'!$K$41</definedName>
    <definedName function="false" hidden="false" name="HEAT_TARIFF_I_ADD_HL_COLUMN_MARKER" vbProcedure="false">'ТС. Т-ТЭ | предел'!$T$36</definedName>
    <definedName function="false" hidden="false" name="HEAT_TARIFF_I_DELETE_PERIOD_ROW_MARKER" vbProcedure="false">'ТС. Т-ТЭ | предел'!$O$37</definedName>
    <definedName function="false" hidden="false" name="HEAT_TARIFF_I_DEL_HL_GC_COLUMN_MARKER" vbProcedure="false">'ТС. Т-ТЭ | предел'!$Q$36</definedName>
    <definedName function="false" hidden="false" name="HEAT_TARIFF_I_DEL_HL_SCHEME_COLUMN_MARKER" vbProcedure="false">'ТС. Т-ТЭ | предел'!$P$36</definedName>
    <definedName function="false" hidden="false" name="HEAT_TARIFF_I_DEL_HL_TN_COLUMN_MARKER" vbProcedure="false">'ТС. Т-ТЭ | предел'!$R$36</definedName>
    <definedName function="false" hidden="false" name="HEAT_TARIFF_I_FLAG_BLOCK_COLUMN_MARKER" vbProcedure="false">'ТС. Т-ТЭ | предел'!$L$41</definedName>
    <definedName function="false" hidden="false" name="HEAT_TARIFF_I_FLAG_BLOCK_ROW_MARKER" vbProcedure="false">'ТС. Т-ТЭ | предел'!$O$22</definedName>
    <definedName function="false" hidden="false" name="HEAT_TARIFF_I_NUM_CS_COLUMN_MARKER" vbProcedure="false">'ТС. Т-ТЭ | предел'!$G$41</definedName>
    <definedName function="false" hidden="false" name="HEAT_TARIFF_I_NUM_GC_COLUMN_MARKER" vbProcedure="false">'ТС. Т-ТЭ | предел'!$J$41</definedName>
    <definedName function="false" hidden="false" name="HEAT_TARIFF_I_NUM_IST_TE_COLUMN_MARKER" vbProcedure="false">'ТС. Т-ТЭ | предел'!$H$41</definedName>
    <definedName function="false" hidden="false" name="HEAT_TARIFF_I_NUM_NTAR_COLUMN_MARKER" vbProcedure="false">'ТС. Т-ТЭ | предел'!$E$41</definedName>
    <definedName function="false" hidden="false" name="HEAT_TARIFF_I_NUM_SCHEME_COLUMN_MARKER" vbProcedure="false">'ТС. Т-ТЭ | предел'!$I$41</definedName>
    <definedName function="false" hidden="false" name="HEAT_TARIFF_I_NUM_TER_COLUMN_MARKER" vbProcedure="false">'ТС. Т-ТЭ | предел'!$F$41</definedName>
    <definedName function="false" hidden="false" name="HEAT_TARIFF_I_NUM_TN_COLUMN_MARKER" vbProcedure="false">'ТС. Т-ТЭ | предел'!$K$41</definedName>
    <definedName function="false" hidden="false" name="HOTVSNA_FIN_SRC_LIST" vbProcedure="false">TEHSHEET!$BJ$4:$BJ$34</definedName>
    <definedName function="false" hidden="false" name="HOTVSNA_FIN_SRC_VLD_LIST" vbProcedure="false">TEHSHEET!$BJ$39:$BJ$60</definedName>
    <definedName function="false" hidden="false" name="HOTVSNA_IP_EVENT_CI_STAGE_LIST" vbProcedure="false">TEHSHEET!$BJ$97:$BJ$100</definedName>
    <definedName function="false" hidden="false" name="HOTVSNA_IP_EVENT_GROUP_LIST" vbProcedure="false">TEHSHEET!$BJ$69:$BJ$76</definedName>
    <definedName function="false" hidden="false" name="HOTVSNA_IP_EVENT_SUBGROUP_1_LIST" vbProcedure="false">TEHSHEET!$BJ$80:$BJ$83</definedName>
    <definedName function="false" hidden="false" name="HOTVSNA_IP_EVENT_SUBGROUP_3_LIST" vbProcedure="false">TEHSHEET!$BJ$87:$BJ$88</definedName>
    <definedName function="false" hidden="false" name="HOTVSNA_IP_EVENT_SUBGROUP_5_LIST" vbProcedure="false">TEHSHEET!$BJ$92:$BJ$93</definedName>
    <definedName function="false" hidden="false" name="HOTVSNA_IP_EVENT_TYPE_LIST" vbProcedure="false">TEHSHEET!$BJ$108</definedName>
    <definedName function="false" hidden="false" name="HOTVSNA_PT_VED_ID" vbProcedure="false">TEHSHEET!$BW$19:$BW$21</definedName>
    <definedName function="false" hidden="false" name="HOTVSNA_PT_VED_NAME" vbProcedure="false">TEHSHEET!$BX$19:$BX$21</definedName>
    <definedName function="false" hidden="false" name="HOTVSNA_PT_VED_NAME_LIST" vbProcedure="false">TEHSHEET!$BW$19:$BX$21</definedName>
    <definedName function="false" hidden="false" name="HOTVSNA_TARIFF_A_HOTVSNA_ADD_HL_COLUMN_MARKER" vbProcedure="false">'ГВС. Т-гор.вода'!$T$34</definedName>
    <definedName function="false" hidden="false" name="HOTVSNA_TARIFF_A_HOTVSNA_DELETE_PERIOD_ROW_MARKER" vbProcedure="false">'ГВС. Т-гор.вода'!$O$35</definedName>
    <definedName function="false" hidden="false" name="HOTVSNA_TARIFF_A_HOTVSNA_DEL_HL_DATA_DIFF_COLUMN_MARKER" vbProcedure="false">'ГВС. Т-гор.вода'!$R$34</definedName>
    <definedName function="false" hidden="false" name="HOTVSNA_TARIFF_A_HOTVSNA_DEL_HL_FLAG_DIFF_COLUMN_MARKER" vbProcedure="false">'ГВС. Т-гор.вода'!$P$34</definedName>
    <definedName function="false" hidden="false" name="HOTVSNA_TARIFF_A_HOTVSNA_DEL_HL_GC_COLUMN_MARKER" vbProcedure="false">'ГВС. Т-гор.вода'!$Q$34</definedName>
    <definedName function="false" hidden="false" name="HOTVSNA_TARIFF_A_HOTVSNA_FLAG_BLOCK_COLUMN_MARKER" vbProcedure="false">'ГВС. Т-гор.вода'!$L$36</definedName>
    <definedName function="false" hidden="false" name="HOTVSNA_TARIFF_A_HOTVSNA_FLAG_BLOCK_ROW_MARKER" vbProcedure="false">'ГВС. Т-гор.вода'!$O$20</definedName>
    <definedName function="false" hidden="false" name="HOTVSNA_TARIFF_A_HOTVSNA_NUM_CS_COLUMN_MARKER" vbProcedure="false">'ГВС. Т-гор.вода'!$G$36</definedName>
    <definedName function="false" hidden="false" name="HOTVSNA_TARIFF_A_HOTVSNA_NUM_DATA_DIFF_COLUMN_MARKER" vbProcedure="false">'ГВС. Т-гор.вода'!$K$36</definedName>
    <definedName function="false" hidden="false" name="HOTVSNA_TARIFF_A_HOTVSNA_NUM_FLAG_DIFF_COLUMN_MARKER" vbProcedure="false">'ГВС. Т-гор.вода'!$I$36</definedName>
    <definedName function="false" hidden="false" name="HOTVSNA_TARIFF_A_HOTVSNA_NUM_GC_COLUMN_MARKER" vbProcedure="false">'ГВС. Т-гор.вода'!$J$36</definedName>
    <definedName function="false" hidden="false" name="HOTVSNA_TARIFF_A_HOTVSNA_NUM_NTAR_COLUMN_MARKER" vbProcedure="false">'ГВС. Т-гор.вода'!$E$36</definedName>
    <definedName function="false" hidden="false" name="HOTVSNA_TARIFF_A_HOTVSNA_NUM_TER_COLUMN_MARKER" vbProcedure="false">'ГВС. Т-гор.вода'!$F$36</definedName>
    <definedName function="false" hidden="false" name="HOTVSNA_TARIFF_B_HOTVSNA_ADD_HL_COLUMN_MARKER" vbProcedure="false">'ГВС. Т-транс'!$T$34</definedName>
    <definedName function="false" hidden="false" name="HOTVSNA_TARIFF_B_HOTVSNA_DELETE_PERIOD_ROW_MARKER" vbProcedure="false">'ГВС. Т-транс'!$O$35</definedName>
    <definedName function="false" hidden="false" name="HOTVSNA_TARIFF_B_HOTVSNA_DEL_HL_DATA_DIFF_COLUMN_MARKER" vbProcedure="false">'ГВС. Т-транс'!$R$34</definedName>
    <definedName function="false" hidden="false" name="HOTVSNA_TARIFF_B_HOTVSNA_DEL_HL_FLAG_DIFF_COLUMN_MARKER" vbProcedure="false">'ГВС. Т-транс'!$P$34</definedName>
    <definedName function="false" hidden="false" name="HOTVSNA_TARIFF_B_HOTVSNA_DEL_HL_GC_COLUMN_MARKER" vbProcedure="false">'ГВС. Т-транс'!$Q$34</definedName>
    <definedName function="false" hidden="false" name="HOTVSNA_TARIFF_B_HOTVSNA_FLAG_BLOCK_COLUMN_MARKER" vbProcedure="false">'ГВС. Т-транс'!$L$36</definedName>
    <definedName function="false" hidden="false" name="HOTVSNA_TARIFF_B_HOTVSNA_FLAG_BLOCK_ROW_MARKER" vbProcedure="false">'ГВС. Т-транс'!$O$20</definedName>
    <definedName function="false" hidden="false" name="HOTVSNA_TARIFF_B_HOTVSNA_NUM_CS_COLUMN_MARKER" vbProcedure="false">'ГВС. Т-транс'!$G$36</definedName>
    <definedName function="false" hidden="false" name="HOTVSNA_TARIFF_B_HOTVSNA_NUM_DATA_DIFF_COLUMN_MARKER" vbProcedure="false">'ГВС. Т-транс'!$K$36</definedName>
    <definedName function="false" hidden="false" name="HOTVSNA_TARIFF_B_HOTVSNA_NUM_FLAG_DIFF_COLUMN_MARKER" vbProcedure="false">'ГВС. Т-транс'!$I$36</definedName>
    <definedName function="false" hidden="false" name="HOTVSNA_TARIFF_B_HOTVSNA_NUM_GC_COLUMN_MARKER" vbProcedure="false">'ГВС. Т-транс'!$J$36</definedName>
    <definedName function="false" hidden="false" name="HOTVSNA_TARIFF_B_HOTVSNA_NUM_NTAR_COLUMN_MARKER" vbProcedure="false">'ГВС. Т-транс'!$E$36</definedName>
    <definedName function="false" hidden="false" name="HOTVSNA_TARIFF_B_HOTVSNA_NUM_TER_COLUMN_MARKER" vbProcedure="false">'ГВС. Т-транс'!$F$36</definedName>
    <definedName function="false" hidden="false" name="HOTVSNA_TARIFF_C_HOTVSNA_ADD_HL_COLUMN_MARKER" vbProcedure="false">'ГВС. Т-подкл'!$T$38</definedName>
    <definedName function="false" hidden="false" name="HOTVSNA_TARIFF_C_HOTVSNA_ADD_HL_DIAMETERS_COLUMN_MARKER" vbProcedure="false">'ГВС. Т-подкл'!$AK$38</definedName>
    <definedName function="false" hidden="false" name="HOTVSNA_TARIFF_C_HOTVSNA_ADD_HL_LEN_COLUMN_MARKER" vbProcedure="false">'ГВС. Т-подкл'!$AO$38</definedName>
    <definedName function="false" hidden="false" name="HOTVSNA_TARIFF_C_HOTVSNA_ADD_HL_LOAD_COLUMN_MARKER" vbProcedure="false">'ГВС. Т-подкл'!$AG$38</definedName>
    <definedName function="false" hidden="false" name="HOTVSNA_TARIFF_C_HOTVSNA_ADD_HL_NETS_COLUMN_MARKER" vbProcedure="false">'ГВС. Т-подкл'!$AS$38</definedName>
    <definedName function="false" hidden="false" name="HOTVSNA_TARIFF_C_HOTVSNA_DELETE_PERIOD_ROW_MARKER" vbProcedure="false">'ГВС. Т-подкл'!$O$39</definedName>
    <definedName function="false" hidden="false" name="HOTVSNA_TARIFF_C_HOTVSNA_DEL_HL_DATA_DIFF_COLUMN_MARKER" vbProcedure="false">'ГВС. Т-подкл'!$R$38</definedName>
    <definedName function="false" hidden="false" name="HOTVSNA_TARIFF_C_HOTVSNA_DEL_HL_DIAMETERS_COLUMN_MARKER" vbProcedure="false">'ГВС. Т-подкл'!$AI$38</definedName>
    <definedName function="false" hidden="false" name="HOTVSNA_TARIFF_C_HOTVSNA_DEL_HL_FLAG_DIFF_COLUMN_MARKER" vbProcedure="false">'ГВС. Т-подкл'!$P$38</definedName>
    <definedName function="false" hidden="false" name="HOTVSNA_TARIFF_C_HOTVSNA_DEL_HL_GC_COLUMN_MARKER" vbProcedure="false">'ГВС. Т-подкл'!$Q$38</definedName>
    <definedName function="false" hidden="false" name="HOTVSNA_TARIFF_C_HOTVSNA_DEL_HL_LEN_COLUMN_MARKER" vbProcedure="false">'ГВС. Т-подкл'!$AM$38</definedName>
    <definedName function="false" hidden="false" name="HOTVSNA_TARIFF_C_HOTVSNA_DEL_HL_LOAD_COLUMN_MARKER" vbProcedure="false">'ГВС. Т-подкл'!$AE$38</definedName>
    <definedName function="false" hidden="false" name="HOTVSNA_TARIFF_C_HOTVSNA_DEL_HL_NETS_COLUMN_MARKER" vbProcedure="false">'ГВС. Т-подкл'!$AQ$38</definedName>
    <definedName function="false" hidden="false" name="HOTVSNA_TARIFF_C_HOTVSNA_FLAG_BLOCK_COLUMN_MARKER" vbProcedure="false">'ГВС. Т-подкл'!$L$44</definedName>
    <definedName function="false" hidden="false" name="HOTVSNA_TARIFF_C_HOTVSNA_FLAG_BLOCK_ROW_MARKER" vbProcedure="false">'ГВС. Т-подкл'!$O$24</definedName>
    <definedName function="false" hidden="false" name="HOTVSNA_TARIFF_C_HOTVSNA_NUM_CS_COLUMN_MARKER" vbProcedure="false">'ГВС. Т-подкл'!$G$44</definedName>
    <definedName function="false" hidden="false" name="HOTVSNA_TARIFF_C_HOTVSNA_NUM_DATA_DIFF_COLUMN_MARKER" vbProcedure="false">'ГВС. Т-подкл'!$K$44</definedName>
    <definedName function="false" hidden="false" name="HOTVSNA_TARIFF_C_HOTVSNA_NUM_DIAMETERS_COLUMN_MARKER" vbProcedure="false">'ГВС. Т-подкл'!$AJ$38</definedName>
    <definedName function="false" hidden="false" name="HOTVSNA_TARIFF_C_HOTVSNA_NUM_FLAG_DIFF_COLUMN_MARKER" vbProcedure="false">'ГВС. Т-подкл'!$I$44</definedName>
    <definedName function="false" hidden="false" name="HOTVSNA_TARIFF_C_HOTVSNA_NUM_GC_COLUMN_MARKER" vbProcedure="false">'ГВС. Т-подкл'!$J$44</definedName>
    <definedName function="false" hidden="false" name="HOTVSNA_TARIFF_C_HOTVSNA_NUM_LEN_COLUMN_MARKER" vbProcedure="false">'ГВС. Т-подкл'!$AN$38</definedName>
    <definedName function="false" hidden="false" name="HOTVSNA_TARIFF_C_HOTVSNA_NUM_LOAD_COLUMN_MARKER" vbProcedure="false">'ГВС. Т-подкл'!$AF$38</definedName>
    <definedName function="false" hidden="false" name="HOTVSNA_TARIFF_C_HOTVSNA_NUM_NETS_COLUMN_MARKER" vbProcedure="false">'ГВС. Т-подкл'!$AR$38</definedName>
    <definedName function="false" hidden="false" name="HOTVSNA_TARIFF_C_HOTVSNA_NUM_NTAR_COLUMN_MARKER" vbProcedure="false">'ГВС. Т-подкл'!$E$44</definedName>
    <definedName function="false" hidden="false" name="HOTVSNA_TARIFF_C_HOTVSNA_NUM_TER_COLUMN_MARKER" vbProcedure="false">'ГВС. Т-подкл'!$F$44</definedName>
    <definedName function="false" hidden="false" name="Info_Diff" vbProcedure="false">modInfo!$B$28</definedName>
    <definedName function="false" hidden="false" name="Info_Diff1" vbProcedure="false">modInfo!$B$30</definedName>
    <definedName function="false" hidden="false" name="Info_FilFlag" vbProcedure="false">modInfo!$B$1</definedName>
    <definedName function="false" hidden="false" name="Info_ForMOInListMO" vbProcedure="false">modInfo!$B$18</definedName>
    <definedName function="false" hidden="false" name="Info_ForMRInListMO" vbProcedure="false">modInfo!$B$17</definedName>
    <definedName function="false" hidden="false" name="Info_ForSKIInListMO" vbProcedure="false">modInfo!$B$19</definedName>
    <definedName function="false" hidden="false" name="Info_ForSKINumberInListMO" vbProcedure="false">modInfo!$B$20</definedName>
    <definedName function="false" hidden="false" name="Info_NoteStandarts" vbProcedure="false">modInfo!$B$22</definedName>
    <definedName function="false" hidden="false" name="Info_NoUpdates" vbProcedure="false">modInfo!$B$36</definedName>
    <definedName function="false" hidden="false" name="Info_PeriodInTitle" vbProcedure="false">modInfo!$B$4</definedName>
    <definedName function="false" hidden="false" name="Info_PrDiff" vbProcedure="false">modInfo!$B$29</definedName>
    <definedName function="false" hidden="false" name="Info_PublicationNotDisclosed" vbProcedure="false">modInfo!$B$15</definedName>
    <definedName function="false" hidden="false" name="Info_PublicationPdf" vbProcedure="false">modInfo!$B$14</definedName>
    <definedName function="false" hidden="false" name="Info_PublicationWeb" vbProcedure="false">modInfo!$B$13</definedName>
    <definedName function="false" hidden="false" name="Info_TarName" vbProcedure="false">modInfo!$B$27</definedName>
    <definedName function="false" hidden="false" name="Info_TerExcludeHelp_1" vbProcedure="false">modInfo!$B$33</definedName>
    <definedName function="false" hidden="false" name="Info_TerExcludeHelp_2" vbProcedure="false">modInfo!$B$34</definedName>
    <definedName function="false" hidden="false" name="Info_TitleFil" vbProcedure="false">modInfo!$B$11</definedName>
    <definedName function="false" hidden="false" name="Info_TitleFlagCrossSubsidization" vbProcedure="false">modInfo!$B$8</definedName>
    <definedName function="false" hidden="false" name="Info_TitleFlagIstPubl" vbProcedure="false">modInfo!$B$9</definedName>
    <definedName function="false" hidden="false" name="Info_TitleFlagTwoPartTariff" vbProcedure="false">modInfo!$B$7</definedName>
    <definedName function="false" hidden="false" name="Info_TitleGroupRates" vbProcedure="false">modInfo!$B$5</definedName>
    <definedName function="false" hidden="false" name="Info_TitleKindPublication" vbProcedure="false">modInfo!$B$3</definedName>
    <definedName function="false" hidden="false" name="Info_TitleKindsOfGoods" vbProcedure="false">modInfo!$B$6</definedName>
    <definedName function="false" hidden="false" name="Info_TitlePublication" vbProcedure="false">modInfo!$B$2</definedName>
    <definedName function="false" hidden="false" name="Info_TitleType" vbProcedure="false">modInfo!$B$10</definedName>
    <definedName function="false" hidden="false" name="Info_T_Podkl" vbProcedure="false">modInfo!$B$24</definedName>
    <definedName function="false" hidden="false" name="inn" vbProcedure="false">Титульный!$F$33</definedName>
    <definedName function="false" hidden="false" name="IP_CLAIM_LIST" vbProcedure="false">TEHSHEET!$AZ$20:$AZ$26</definedName>
    <definedName function="false" hidden="false" name="IP_DETAILED_ADD_HL_EVENT_COLUMN_MARKER" vbProcedure="false">'ИП. Детализация'!$I$7</definedName>
    <definedName function="false" hidden="false" name="IP_DETAILED_ADD_HL_IST_FIN_COLUMN_MARKER" vbProcedure="false">'ИП. Детализация'!$AB$7</definedName>
    <definedName function="false" hidden="false" name="IP_DETAILED_ADD_HL_OBJECT_COLUMN_MARKER" vbProcedure="false">'ИП. Детализация'!$P$7</definedName>
    <definedName function="false" hidden="false" name="IP_DETAILED_DATA_KS" vbProcedure="false">'ИП. Детализация'!$M$7</definedName>
    <definedName function="false" hidden="false" name="IP_DETAILED_EVENT_MARKER" vbProcedure="false">'ИП. Детализация'!$K$7:$Y$7</definedName>
    <definedName function="false" hidden="false" name="IP_DETAILED_EVENT_SUBGROUP_COLUMN_MARKER" vbProcedure="false">'ИП. Детализация'!$J$7</definedName>
    <definedName function="false" hidden="false" name="IP_DETAILED_EVENT_SUBGROUP_RANGE_COLUMN_MARKER" vbProcedure="false">'ИП. Детализация'!$B$7</definedName>
    <definedName function="false" hidden="false" name="IP_DETAILED_FLAG_KS" vbProcedure="false">'ИП. Детализация'!$L$7</definedName>
    <definedName function="false" hidden="false" name="IP_DETAILED_FLAG_OBJECT" vbProcedure="false">'ИП. Детализация'!$P$13</definedName>
    <definedName function="false" hidden="false" name="IP_DETAILED_GROUP_MARKER" vbProcedure="false">'ИП. Детализация'!$I$7:$J$7</definedName>
    <definedName function="false" hidden="false" name="IP_DETAILED_IST_FIN_FACT_COLUMN_MARKER" vbProcedure="false">'ИП. Детализация'!$AD$7</definedName>
    <definedName function="false" hidden="false" name="IP_DETAILED_LIST_IP_ID" vbProcedure="false">'ИП. Детализация'!$A$14:$A$14</definedName>
    <definedName function="false" hidden="false" name="IP_DETAILED_MONTH_FACT_COLUMN_MARKER" vbProcedure="false">'ИП. Детализация'!$AJ$7</definedName>
    <definedName function="false" hidden="false" name="IP_DETAILED_MONTH_PLAN_COLUMN_MARKER" vbProcedure="false">'ИП. Детализация'!$AG$7</definedName>
    <definedName function="false" hidden="false" name="IP_DETAILED_NAME_EVENT_COLUMN_MARKER" vbProcedure="false">'ИП. Детализация'!$K$7</definedName>
    <definedName function="false" hidden="false" name="IP_DETAILED_YEAR_FACT_COLUMN_MARKER" vbProcedure="false">'ИП. Детализация'!$AK$7</definedName>
    <definedName function="false" hidden="false" name="IP_DETAILED_YEAR_PLAN_COLUMN_MARKER" vbProcedure="false">'ИП. Детализация'!$AH$7</definedName>
    <definedName function="false" hidden="false" name="IP_FIN_PLAN_LIST_ID_MARKER_ROW" vbProcedure="false">'ИП. Финансовый план'!$E$8</definedName>
    <definedName function="false" hidden="false" name="IP_FIN_PLAN_NAME_IP_MARKER_ROW" vbProcedure="false">'ИП. Финансовый план'!$E$11</definedName>
    <definedName function="false" hidden="false" name="IP_FIN_PLAN_YEAR_MARKER_ROW" vbProcedure="false">'ИП. Финансовый план'!$E$12</definedName>
    <definedName function="false" hidden="false" name="IP_ID" vbProcedure="false">TEHSHEET!$E$58</definedName>
    <definedName function="false" hidden="false" name="IP_MAIN_ADD_HL_PROPERTY_COLUMN_MARKER" vbProcedure="false">ИП!$AB$7</definedName>
    <definedName function="false" hidden="false" name="IP_MAIN_APPROVAL_DATE" vbProcedure="false">ИП!$I$11:$I$13</definedName>
    <definedName function="false" hidden="false" name="IP_MAIN_CHANGE_DATE" vbProcedure="false">ИП!$J$11:$J$13</definedName>
    <definedName function="false" hidden="false" name="IP_MAIN_CLAIM" vbProcedure="false">ИП!$K$11:$K$13</definedName>
    <definedName function="false" hidden="false" name="IP_MAIN_DATE_PARKING" vbProcedure="false">ИП!$L$5</definedName>
    <definedName function="false" hidden="false" name="IP_MAIN_DELETE_HL_COLUMN_MARKER" vbProcedure="false">ИП!$E$7</definedName>
    <definedName function="false" hidden="false" name="IP_MAIN_DIFFERENTIATION_EVENTS_FLAG" vbProcedure="false">ИП!$H$11:$H$13</definedName>
    <definedName function="false" hidden="false" name="IP_MAIN_END_DATE" vbProcedure="false">ИП!$O$11:$O$13</definedName>
    <definedName function="false" hidden="false" name="IP_MAIN_FLAG_KS" vbProcedure="false">ИП!$Y$11:$Y$13</definedName>
    <definedName function="false" hidden="false" name="IP_MAIN_FLAG_KS_COLUMN_MARKER" vbProcedure="false">ИП!$Y$7</definedName>
    <definedName function="false" hidden="false" name="IP_MAIN_IP_FIN_PLAN_VISIBLE_FLAG" vbProcedure="false">ИП!$H$15</definedName>
    <definedName function="false" hidden="false" name="IP_MAIN_LIST_IP_ID" vbProcedure="false">ИП!$AD$11:$AD$13</definedName>
    <definedName function="false" hidden="false" name="IP_MAIN_LIST_NAME_IP" vbProcedure="false">ИП!$G$11:$G$13</definedName>
    <definedName function="false" hidden="false" name="IP_MAIN_PERIOD_REALIZ_DATE" vbProcedure="false">ИП!$P$11:$P$13</definedName>
    <definedName function="false" hidden="false" name="IP_MAIN_PR_IP_CHANGE_DATE" vbProcedure="false">ИП!$X$11:$X$13</definedName>
    <definedName function="false" hidden="false" name="IP_MAIN_PR_IP_DATE" vbProcedure="false">ИП!$T$11:$T$13</definedName>
    <definedName function="false" hidden="false" name="IP_MAIN_PR_IP_NAME" vbProcedure="false">ИП!$Q$11:$Q$13</definedName>
    <definedName function="false" hidden="false" name="IP_MAIN_PR_IP_NUMBER" vbProcedure="false">ИП!$S$11:$S$13</definedName>
    <definedName function="false" hidden="false" name="IP_MAIN_PR_IP_TYPE" vbProcedure="false">ИП!$R$11:$R$13</definedName>
    <definedName function="false" hidden="false" name="IP_MAIN_START_DATE" vbProcedure="false">ИП!$N$11:$N$13</definedName>
    <definedName function="false" hidden="false" name="IP_NAME_FORM" vbProcedure="false">DATA_FORMS!$C$32</definedName>
    <definedName function="false" hidden="false" name="IP_QRE_ADD_HL_CLAIM_COLUMN_MARKER" vbProcedure="false">'ИП. КНЭ'!$G$7</definedName>
    <definedName function="false" hidden="false" name="IP_QRE_ADD_HL_COLUMN_MARKER" vbProcedure="false">'ИП. КНЭ'!$G$8</definedName>
    <definedName function="false" hidden="false" name="IP_QRE_DELETE_HL_COLUMN_MARKER" vbProcedure="false">'ИП. КНЭ'!$E$8</definedName>
    <definedName function="false" hidden="false" name="IP_QRE_LIST_IP_ID" vbProcedure="false">'ИП. КНЭ'!$A$18:$A$20</definedName>
    <definedName function="false" hidden="false" name="IP_QRE_NUM_COLUMN_MARKER" vbProcedure="false">'ИП. КНЭ'!$F$8</definedName>
    <definedName function="false" hidden="false" name="IP_QRE_OTKO_FEATURES_BLOCK" vbProcedure="false">'ИП. КНЭ'!$DY$8</definedName>
    <definedName function="false" hidden="false" name="IP_QRE_VOTV_FEATURES_BLOCK" vbProcedure="false">'ИП. КНЭ'!$CY$8:$DX$8</definedName>
    <definedName function="false" hidden="false" name="IP_QRE_VSNA_FEATURES_BLOCK" vbProcedure="false">'ИП. КНЭ'!$BT$8:$CX$8</definedName>
    <definedName function="false" hidden="false" name="IP_QRE_WARM_FEATURES_BLOCK" vbProcedure="false">'ИП. КНЭ'!$O$8:$BS$8</definedName>
    <definedName function="false" hidden="false" name="IST_TE_ID" vbProcedure="false">TEHSHEET!$E$64</definedName>
    <definedName function="false" hidden="false" name="kind_group_rates" vbProcedure="false">TEHSHEET!$X$2:$X$14</definedName>
    <definedName function="false" hidden="false" name="kind_group_rates_load" vbProcedure="false">TEHSHEET!$AP$2:$AP$11</definedName>
    <definedName function="false" hidden="false" name="kind_group_rates_load_ETS" vbProcedure="false">TEHSHEET!$AP$2:$AP$11</definedName>
    <definedName function="false" hidden="false" name="kind_group_rates_load_filter" vbProcedure="false">TEHSHEET!$AQ$2:$AQ$11</definedName>
    <definedName function="false" hidden="false" name="kind_group_rates_load_filter_ETS" vbProcedure="false">TEHSHEET!$AQ$2:$AQ$11</definedName>
    <definedName function="false" hidden="false" name="kind_of_activity_WARM" vbProcedure="false">TEHSHEET!$N$2:$N$8</definedName>
    <definedName function="false" hidden="false" name="kind_of_cons" vbProcedure="false">TEHSHEET!$R$2:$R$6</definedName>
    <definedName function="false" hidden="false" name="kind_of_control_method" vbProcedure="false">TEHSHEET!$K$2:$K$5</definedName>
    <definedName function="false" hidden="false" name="kind_of_control_method_filter" vbProcedure="false">TEHSHEET!$L$2:$L$5</definedName>
    <definedName function="false" hidden="false" name="kind_of_data_type" vbProcedure="false">TEHSHEET!$P$2:$P$3</definedName>
    <definedName function="false" hidden="false" name="kind_of_diameters" vbProcedure="false">TEHSHEET!$T$2:$T$6</definedName>
    <definedName function="false" hidden="false" name="kind_of_diameters2" vbProcedure="false">TEHSHEET!$AU$2:$AU$8</definedName>
    <definedName function="false" hidden="false" name="kind_of_diff" vbProcedure="false">TEHSHEET!$AS$2:$AS$4</definedName>
    <definedName function="false" hidden="false" name="kind_of_fuel" vbProcedure="false">TEHSHEET!$AK$2:$AK$9</definedName>
    <definedName function="false" hidden="false" name="kind_of_fuels" vbProcedure="false">TEHSHEET!$BB$2:$BB$29</definedName>
    <definedName function="false" hidden="false" name="kind_of_heat_transfer" vbProcedure="false">TEHSHEET!$O$2:$O$12</definedName>
    <definedName function="false" hidden="false" name="kind_of_heat_transfer2" vbProcedure="false">TEHSHEET!$AH$2:$AH$7</definedName>
    <definedName function="false" hidden="false" name="kind_of_heat_transfer3" vbProcedure="false">TEHSHEET!$AI$2:$AI$3</definedName>
    <definedName function="false" hidden="false" name="kind_of_load" vbProcedure="false">TEHSHEET!$U$2:$U$7</definedName>
    <definedName function="false" hidden="false" name="kind_of_load2" vbProcedure="false">TEHSHEET!$U$2:$U$4</definedName>
    <definedName function="false" hidden="false" name="kind_of_load3" vbProcedure="false">TEHSHEET!$AF$2:$AF$5</definedName>
    <definedName function="false" hidden="false" name="kind_of_load4" vbProcedure="false">TEHSHEET!$U$2:$U$5</definedName>
    <definedName function="false" hidden="false" name="kind_of_NDS" vbProcedure="false">TEHSHEET!$H$2:$H$8</definedName>
    <definedName function="false" hidden="false" name="kind_of_NDS_tariff" vbProcedure="false">TEHSHEET!$H$10:$H$11</definedName>
    <definedName function="false" hidden="false" name="kind_of_NDS_tariff_people" vbProcedure="false">TEHSHEET!$H$16:$H$17</definedName>
    <definedName function="false" hidden="false" name="kind_of_nets" vbProcedure="false">TEHSHEET!$S$2:$S$4</definedName>
    <definedName function="false" hidden="false" name="kind_of_org_type" vbProcedure="false">TEHSHEET!$AZ$2:$AZ$5</definedName>
    <definedName function="false" hidden="false" name="kind_of_power_te_unit" vbProcedure="false">TEHSHEET!$J$11:$J$12</definedName>
    <definedName function="false" hidden="false" name="kind_of_publication" vbProcedure="false">TEHSHEET!$G$2:$G$3</definedName>
    <definedName function="false" hidden="false" name="kind_of_purchase_method" vbProcedure="false">TEHSHEET!$K$11:$K$13</definedName>
    <definedName function="false" hidden="false" name="kind_of_scheme_in" vbProcedure="false">TEHSHEET!$Q$2:$Q$5</definedName>
    <definedName function="false" hidden="false" name="kind_of_scheme_in2" vbProcedure="false">TEHSHEET!$Q$3:$Q$5</definedName>
    <definedName function="false" hidden="false" name="kind_of_tariff_RHEAT" vbProcedure="false">TEHSHEET!$E$19:$E$20</definedName>
    <definedName function="false" hidden="false" name="kind_of_tariff_unit" vbProcedure="false">TEHSHEET!$J$7:$J$8</definedName>
    <definedName function="false" hidden="false" name="kind_of_unit" vbProcedure="false">TEHSHEET!$J$2:$J$4</definedName>
    <definedName function="false" hidden="false" name="kind_of_volume_te_unit" vbProcedure="false">TEHSHEET!$J$15:$J$16</definedName>
    <definedName function="false" hidden="false" name="kind_of_zak" vbProcedure="false">TEHSHEET!$AM$2:$AM$7</definedName>
    <definedName function="false" hidden="false" name="KNE_NAME_FORM" vbProcedure="false">DATA_FORMS!$C$8</definedName>
    <definedName function="false" hidden="false" name="kpp" vbProcedure="false">Титульный!$F$34</definedName>
    <definedName function="false" hidden="false" name="LINK_RANGE" vbProcedure="false">REESTR_LINK!$B$2:$B$3</definedName>
    <definedName function="false" hidden="false" name="ListForms" vbProcedure="false">modSheetMain!$A:$A</definedName>
    <definedName function="false" hidden="false" name="List_H" vbProcedure="false">TEHSHEET!$AW$2:$AW$25</definedName>
    <definedName function="false" hidden="false" name="List_M" vbProcedure="false">TEHSHEET!$AX$2:$AX$61</definedName>
    <definedName function="false" hidden="false" name="LIST_MR_MO_OKTMO" vbProcedure="false">REESTR_MO!$A$2:$D$709</definedName>
    <definedName function="false" hidden="false" name="LIST_MR_MO_OKTMO_FILTER" vbProcedure="false">REESTR_MO_FILTER!$A$2:$D$708</definedName>
    <definedName function="false" hidden="false" name="logical" vbProcedure="false">TEHSHEET!$D$2:$D$3</definedName>
    <definedName function="false" hidden="false" name="MONTH" vbProcedure="false">TEHSHEET!$E$2:$E$13</definedName>
    <definedName function="false" hidden="false" name="MONTH_IP_LIST" vbProcedure="false">TEHSHEET!$BF$2:$BF$13</definedName>
    <definedName function="false" hidden="false" name="nalog" vbProcedure="false">Титульный!$F$37</definedName>
    <definedName function="false" hidden="false" name="NameTemplatesInListMO" vbProcedure="false">TEHSHEET!$K$45</definedName>
    <definedName function="false" hidden="false" name="NameTemplatesInTitle" vbProcedure="false">TEHSHEET!$J$45</definedName>
    <definedName function="false" hidden="false" name="NameTemplatesInTitleList" vbProcedure="false">TEHSHEET!$J$46:$J$53</definedName>
    <definedName function="false" hidden="false" name="name_rates_4" vbProcedure="false">TEHSHEET!$AA$2:$AA$3</definedName>
    <definedName function="false" hidden="false" name="name_rates_4_filter" vbProcedure="false">TEHSHEET!$AB$2:$AB$3</definedName>
    <definedName function="false" hidden="false" name="name_rates_8" vbProcedure="false">TEHSHEET!$AC$2:$AC$4</definedName>
    <definedName function="false" hidden="false" name="name_rates_8_filter" vbProcedure="false">TEHSHEET!$AD$2:$AD$4</definedName>
    <definedName function="false" hidden="false" name="NTAR_ID" vbProcedure="false">TEHSHEET!$E$61</definedName>
    <definedName function="false" hidden="false" name="OFFER_DPR" vbProcedure="false">Предложение!$L$85</definedName>
    <definedName function="false" hidden="false" name="OFFER_METHOD" vbProcedure="false">Предложение!$K$24:$K$83</definedName>
    <definedName function="false" hidden="false" name="OFFER_METHOD_FLAG" vbProcedure="false">TEHSHEET!$L$6</definedName>
    <definedName function="false" hidden="false" name="OFFER_TARIFF_A_1" vbProcedure="false">Предложение!$24:$26</definedName>
    <definedName function="false" hidden="false" name="OFFER_TARIFF_A_2" vbProcedure="false">Предложение!$87:$89</definedName>
    <definedName function="false" hidden="false" name="OFFER_TARIFF_A_3" vbProcedure="false">Предложение!$148:$150</definedName>
    <definedName function="false" hidden="false" name="OFFER_TARIFF_A_4" vbProcedure="false">Предложение!$209:$211</definedName>
    <definedName function="false" hidden="false" name="OFFER_TARIFF_A_5" vbProcedure="false">Предложение!$270:$272</definedName>
    <definedName function="false" hidden="false" name="OFFER_TARIFF_A_COLDVSNA_1" vbProcedure="false">Предложение!$51:$53</definedName>
    <definedName function="false" hidden="false" name="OFFER_TARIFF_A_COLDVSNA_2" vbProcedure="false">Предложение!$114:$116</definedName>
    <definedName function="false" hidden="false" name="OFFER_TARIFF_A_COLDVSNA_3" vbProcedure="false">Предложение!$175:$177</definedName>
    <definedName function="false" hidden="false" name="OFFER_TARIFF_A_COLDVSNA_4" vbProcedure="false">Предложение!$236:$238</definedName>
    <definedName function="false" hidden="false" name="OFFER_TARIFF_A_COLDVSNA_5" vbProcedure="false">Предложение!$297:$299</definedName>
    <definedName function="false" hidden="false" name="OFFER_TARIFF_A_HOTVSNA_1" vbProcedure="false">Предложение!$66:$68</definedName>
    <definedName function="false" hidden="false" name="OFFER_TARIFF_A_HOTVSNA_2" vbProcedure="false">Предложение!$129:$131</definedName>
    <definedName function="false" hidden="false" name="OFFER_TARIFF_A_HOTVSNA_3" vbProcedure="false">Предложение!$190:$192</definedName>
    <definedName function="false" hidden="false" name="OFFER_TARIFF_A_HOTVSNA_4" vbProcedure="false">Предложение!$251:$253</definedName>
    <definedName function="false" hidden="false" name="OFFER_TARIFF_A_HOTVSNA_5" vbProcedure="false">Предложение!$312:$314</definedName>
    <definedName function="false" hidden="false" name="OFFER_TARIFF_A_VOTV_1" vbProcedure="false">Предложение!$75:$77</definedName>
    <definedName function="false" hidden="false" name="OFFER_TARIFF_A_VOTV_2" vbProcedure="false">Предложение!$138:$140</definedName>
    <definedName function="false" hidden="false" name="OFFER_TARIFF_A_VOTV_3" vbProcedure="false">Предложение!$199:$201</definedName>
    <definedName function="false" hidden="false" name="OFFER_TARIFF_A_VOTV_4" vbProcedure="false">Предложение!$260:$262</definedName>
    <definedName function="false" hidden="false" name="OFFER_TARIFF_A_VOTV_5" vbProcedure="false">Предложение!$321:$323</definedName>
    <definedName function="false" hidden="false" name="OFFER_TARIFF_B_1" vbProcedure="false">Предложение!$27:$29</definedName>
    <definedName function="false" hidden="false" name="OFFER_TARIFF_B_2" vbProcedure="false">Предложение!$90:$92</definedName>
    <definedName function="false" hidden="false" name="OFFER_TARIFF_B_3" vbProcedure="false">Предложение!$151:$153</definedName>
    <definedName function="false" hidden="false" name="OFFER_TARIFF_B_4" vbProcedure="false">Предложение!$212:$214</definedName>
    <definedName function="false" hidden="false" name="OFFER_TARIFF_B_5" vbProcedure="false">Предложение!$273:$275</definedName>
    <definedName function="false" hidden="false" name="OFFER_TARIFF_B_COLDVSNA_1" vbProcedure="false">Предложение!$54:$56</definedName>
    <definedName function="false" hidden="false" name="OFFER_TARIFF_B_COLDVSNA_2" vbProcedure="false">Предложение!$117:$119</definedName>
    <definedName function="false" hidden="false" name="OFFER_TARIFF_B_COLDVSNA_3" vbProcedure="false">Предложение!$178:$180</definedName>
    <definedName function="false" hidden="false" name="OFFER_TARIFF_B_COLDVSNA_4" vbProcedure="false">Предложение!$239:$241</definedName>
    <definedName function="false" hidden="false" name="OFFER_TARIFF_B_COLDVSNA_5" vbProcedure="false">Предложение!$300:$302</definedName>
    <definedName function="false" hidden="false" name="OFFER_TARIFF_B_HOTVSNA_1" vbProcedure="false">Предложение!$69:$71</definedName>
    <definedName function="false" hidden="false" name="OFFER_TARIFF_B_HOTVSNA_2" vbProcedure="false">Предложение!$132:$134</definedName>
    <definedName function="false" hidden="false" name="OFFER_TARIFF_B_HOTVSNA_3" vbProcedure="false">Предложение!$193:$195</definedName>
    <definedName function="false" hidden="false" name="OFFER_TARIFF_B_HOTVSNA_4" vbProcedure="false">Предложение!$254:$256</definedName>
    <definedName function="false" hidden="false" name="OFFER_TARIFF_B_HOTVSNA_5" vbProcedure="false">Предложение!$315:$317</definedName>
    <definedName function="false" hidden="false" name="OFFER_TARIFF_B_VOTV_1" vbProcedure="false">Предложение!$78:$80</definedName>
    <definedName function="false" hidden="false" name="OFFER_TARIFF_B_VOTV_2" vbProcedure="false">Предложение!$141:$143</definedName>
    <definedName function="false" hidden="false" name="OFFER_TARIFF_B_VOTV_3" vbProcedure="false">Предложение!$202:$204</definedName>
    <definedName function="false" hidden="false" name="OFFER_TARIFF_B_VOTV_4" vbProcedure="false">Предложение!$263:$265</definedName>
    <definedName function="false" hidden="false" name="OFFER_TARIFF_B_VOTV_5" vbProcedure="false">Предложение!$324:$326</definedName>
    <definedName function="false" hidden="false" name="OFFER_TARIFF_C_1" vbProcedure="false">Предложение!$30:$32</definedName>
    <definedName function="false" hidden="false" name="OFFER_TARIFF_C_2" vbProcedure="false">Предложение!$93:$95</definedName>
    <definedName function="false" hidden="false" name="OFFER_TARIFF_C_3" vbProcedure="false">Предложение!$154:$156</definedName>
    <definedName function="false" hidden="false" name="OFFER_TARIFF_C_4" vbProcedure="false">Предложение!$215:$217</definedName>
    <definedName function="false" hidden="false" name="OFFER_TARIFF_C_5" vbProcedure="false">Предложение!$276:$278</definedName>
    <definedName function="false" hidden="false" name="OFFER_TARIFF_C_COLDVSNA_1" vbProcedure="false">Предложение!$57:$59</definedName>
    <definedName function="false" hidden="false" name="OFFER_TARIFF_C_COLDVSNA_2" vbProcedure="false">Предложение!$120:$122</definedName>
    <definedName function="false" hidden="false" name="OFFER_TARIFF_C_COLDVSNA_3" vbProcedure="false">Предложение!$181:$183</definedName>
    <definedName function="false" hidden="false" name="OFFER_TARIFF_C_COLDVSNA_4" vbProcedure="false">Предложение!$242:$244</definedName>
    <definedName function="false" hidden="false" name="OFFER_TARIFF_C_COLDVSNA_5" vbProcedure="false">Предложение!$303:$305</definedName>
    <definedName function="false" hidden="false" name="OFFER_TARIFF_C_HOTVSNA_1" vbProcedure="false">Предложение!$72:$74</definedName>
    <definedName function="false" hidden="false" name="OFFER_TARIFF_C_HOTVSNA_2" vbProcedure="false">Предложение!$135:$137</definedName>
    <definedName function="false" hidden="false" name="OFFER_TARIFF_C_HOTVSNA_3" vbProcedure="false">Предложение!$196:$198</definedName>
    <definedName function="false" hidden="false" name="OFFER_TARIFF_C_HOTVSNA_4" vbProcedure="false">Предложение!$257:$259</definedName>
    <definedName function="false" hidden="false" name="OFFER_TARIFF_C_HOTVSNA_5" vbProcedure="false">Предложение!$318:$320</definedName>
    <definedName function="false" hidden="false" name="OFFER_TARIFF_C_VOTV_1" vbProcedure="false">Предложение!$81:$83</definedName>
    <definedName function="false" hidden="false" name="OFFER_TARIFF_C_VOTV_2" vbProcedure="false">Предложение!$144:$146</definedName>
    <definedName function="false" hidden="false" name="OFFER_TARIFF_C_VOTV_3" vbProcedure="false">Предложение!$205:$207</definedName>
    <definedName function="false" hidden="false" name="OFFER_TARIFF_C_VOTV_4" vbProcedure="false">Предложение!$266:$268</definedName>
    <definedName function="false" hidden="false" name="OFFER_TARIFF_C_VOTV_5" vbProcedure="false">Предложение!$327:$329</definedName>
    <definedName function="false" hidden="false" name="OFFER_TARIFF_D_1" vbProcedure="false">Предложение!$33:$35</definedName>
    <definedName function="false" hidden="false" name="OFFER_TARIFF_D_2" vbProcedure="false">Предложение!$96:$98</definedName>
    <definedName function="false" hidden="false" name="OFFER_TARIFF_D_3" vbProcedure="false">Предложение!$157:$159</definedName>
    <definedName function="false" hidden="false" name="OFFER_TARIFF_D_4" vbProcedure="false">Предложение!$218:$220</definedName>
    <definedName function="false" hidden="false" name="OFFER_TARIFF_D_5" vbProcedure="false">Предложение!$279:$281</definedName>
    <definedName function="false" hidden="false" name="OFFER_TARIFF_D_COLDVSNA_1" vbProcedure="false">Предложение!$60:$62</definedName>
    <definedName function="false" hidden="false" name="OFFER_TARIFF_D_COLDVSNA_2" vbProcedure="false">Предложение!$123:$125</definedName>
    <definedName function="false" hidden="false" name="OFFER_TARIFF_D_COLDVSNA_3" vbProcedure="false">Предложение!$184:$186</definedName>
    <definedName function="false" hidden="false" name="OFFER_TARIFF_D_COLDVSNA_4" vbProcedure="false">Предложение!$245:$247</definedName>
    <definedName function="false" hidden="false" name="OFFER_TARIFF_D_COLDVSNA_5" vbProcedure="false">Предложение!$306:$308</definedName>
    <definedName function="false" hidden="false" name="OFFER_TARIFF_E1_1" vbProcedure="false">Предложение!$36:$38</definedName>
    <definedName function="false" hidden="false" name="OFFER_TARIFF_E1_2" vbProcedure="false">Предложение!$99:$101</definedName>
    <definedName function="false" hidden="false" name="OFFER_TARIFF_E1_3" vbProcedure="false">Предложение!$160:$162</definedName>
    <definedName function="false" hidden="false" name="OFFER_TARIFF_E1_4" vbProcedure="false">Предложение!$221:$223</definedName>
    <definedName function="false" hidden="false" name="OFFER_TARIFF_E1_5" vbProcedure="false">Предложение!$282:$284</definedName>
    <definedName function="false" hidden="false" name="OFFER_TARIFF_E2_1" vbProcedure="false">Предложение!$39:$41</definedName>
    <definedName function="false" hidden="false" name="OFFER_TARIFF_E2_2" vbProcedure="false">Предложение!$102:$104</definedName>
    <definedName function="false" hidden="false" name="OFFER_TARIFF_E2_3" vbProcedure="false">Предложение!$163:$165</definedName>
    <definedName function="false" hidden="false" name="OFFER_TARIFF_E2_4" vbProcedure="false">Предложение!$224:$226</definedName>
    <definedName function="false" hidden="false" name="OFFER_TARIFF_E2_5" vbProcedure="false">Предложение!$285:$287</definedName>
    <definedName function="false" hidden="false" name="OFFER_TARIFF_E_COLDVSNA_1" vbProcedure="false">Предложение!$63:$65</definedName>
    <definedName function="false" hidden="false" name="OFFER_TARIFF_E_COLDVSNA_2" vbProcedure="false">Предложение!$126:$128</definedName>
    <definedName function="false" hidden="false" name="OFFER_TARIFF_E_COLDVSNA_3" vbProcedure="false">Предложение!$187:$189</definedName>
    <definedName function="false" hidden="false" name="OFFER_TARIFF_E_COLDVSNA_4" vbProcedure="false">Предложение!$248:$250</definedName>
    <definedName function="false" hidden="false" name="OFFER_TARIFF_E_COLDVSNA_5" vbProcedure="false">Предложение!$309:$311</definedName>
    <definedName function="false" hidden="false" name="OFFER_TARIFF_F_1" vbProcedure="false">Предложение!$42:$44</definedName>
    <definedName function="false" hidden="false" name="OFFER_TARIFF_F_2" vbProcedure="false">Предложение!$105:$107</definedName>
    <definedName function="false" hidden="false" name="OFFER_TARIFF_F_3" vbProcedure="false">Предложение!$166:$168</definedName>
    <definedName function="false" hidden="false" name="OFFER_TARIFF_F_4" vbProcedure="false">Предложение!$227:$229</definedName>
    <definedName function="false" hidden="false" name="OFFER_TARIFF_F_5" vbProcedure="false">Предложение!$288:$290</definedName>
    <definedName function="false" hidden="false" name="OFFER_TARIFF_G_1" vbProcedure="false">Предложение!$45:$47</definedName>
    <definedName function="false" hidden="false" name="OFFER_TARIFF_G_2" vbProcedure="false">Предложение!$108:$110</definedName>
    <definedName function="false" hidden="false" name="OFFER_TARIFF_G_3" vbProcedure="false">Предложение!$169:$171</definedName>
    <definedName function="false" hidden="false" name="OFFER_TARIFF_G_4" vbProcedure="false">Предложение!$230:$232</definedName>
    <definedName function="false" hidden="false" name="OFFER_TARIFF_G_5" vbProcedure="false">Предложение!$291:$293</definedName>
    <definedName function="false" hidden="false" name="OFFER_TARIFF_H_1" vbProcedure="false">Предложение!$48:$50</definedName>
    <definedName function="false" hidden="false" name="org" vbProcedure="false">Титульный!$F$31</definedName>
    <definedName function="false" hidden="false" name="Org_Address" vbProcedure="false">Титульный!$F$64:$F$64</definedName>
    <definedName function="false" hidden="false" name="ORG_END_DATE" vbProcedure="false">TEHSHEET!$F$29</definedName>
    <definedName function="false" hidden="false" name="ORG_INFO_DATE_OGRN" vbProcedure="false">'Общая информация об организации'!$F$17</definedName>
    <definedName function="false" hidden="false" name="ORG_INFO_DATE_PARKING" vbProcedure="false">'Общая информация об организации'!$G$4</definedName>
    <definedName function="false" hidden="false" name="ORG_INFO_DATE_UNI_TS" vbProcedure="false">'Общая информация об организации'!$F$21</definedName>
    <definedName function="false" hidden="false" name="ORG_INFO_EMAIL" vbProcedure="false">'Общая информация об организации'!$F$44</definedName>
    <definedName function="false" hidden="false" name="ORG_INFO_ET" vbProcedure="false">'Общая информация об организации'!$F$20:$F$24</definedName>
    <definedName function="false" hidden="false" name="ORG_INFO_ET_CYAN" vbProcedure="false">'Общая информация об организации'!$F$20:$F$23</definedName>
    <definedName function="false" hidden="false" name="ORG_INFO_FLAG_INVEST" vbProcedure="false">'Общая информация об организации'!$F$51</definedName>
    <definedName function="false" hidden="false" name="ORG_INFO_NAME_FORM" vbProcedure="false">DATA_FORMS!$C$4</definedName>
    <definedName function="false" hidden="false" name="ORG_INFO_P_NOTE_MAIN" vbProcedure="false">DATA_NPA!$N$3</definedName>
    <definedName function="false" hidden="false" name="ORG_INFO_RESP_EMAIL" vbProcedure="false">'Общая информация об организации'!$F$32</definedName>
    <definedName function="false" hidden="false" name="ORG_INFO_URL" vbProcedure="false">'Общая информация об организации'!$F$43</definedName>
    <definedName function="false" hidden="false" name="Org_main" vbProcedure="false">Титульный!$F$65</definedName>
    <definedName function="false" hidden="false" name="ORG_START_DATE" vbProcedure="false">TEHSHEET!$E$29</definedName>
    <definedName function="false" hidden="false" name="ORG_TERRITORY_FIRST_MO" vbProcedure="false">'Сведения по территориям'!$G$12</definedName>
    <definedName function="false" hidden="false" name="ORG_TERRITORY_FLAG_INTERNET" vbProcedure="false">'Сведения по территориям'!$J$11:$J$13</definedName>
    <definedName function="false" hidden="false" name="ORG_TERRITORY_LINK" vbProcedure="false">'Сведения по территориям'!$K$11:$K$13</definedName>
    <definedName function="false" hidden="false" name="ORG_TERRITORY_NAME_COL" vbProcedure="false">'Сведения по территориям'!$G$1:$I$1</definedName>
    <definedName function="false" hidden="false" name="ORG_TERRITORY_POINT_NUMBER_1" vbProcedure="false">'Сведения по территориям'!$A:$A</definedName>
    <definedName function="false" hidden="false" name="ORG_VD_EM" vbProcedure="false">'Общая информация по ВД'!$K$11:$K$13</definedName>
    <definedName function="false" hidden="false" name="ORG_VD_FIRST_ROW" vbProcedure="false">'Общая информация по ВД'!$12:$12</definedName>
    <definedName function="false" hidden="false" name="ORG_VD_FIRST_SYSTEM" vbProcedure="false">'Общая информация по ВД'!$E$12</definedName>
    <definedName function="false" hidden="false" name="ORG_VD_NAME_FORM" vbProcedure="false">DATA_FORMS!$C$31</definedName>
    <definedName function="false" hidden="false" name="ORG_VD_SYSTEM" vbProcedure="false">'Общая информация по ВД'!$E$11:$E$13</definedName>
    <definedName function="false" hidden="false" name="ORG_VD_TKO_ADD_HL_ACTIVITY_COLUMN_MARKER" vbProcedure="false">'Виды объектов'!$E$9</definedName>
    <definedName function="false" hidden="false" name="ORG_VD_TKO_ADD_HL_TYPE_OBJECT_COLUMN_MARKER" vbProcedure="false">'Виды объектов'!$H$9</definedName>
    <definedName function="false" hidden="false" name="ORG_VD_TKO_DEL_HL_ACTIVITY_COLUMN_MARKER" vbProcedure="false">'Виды объектов'!$C$9</definedName>
    <definedName function="false" hidden="false" name="ORG_VD_TKO_DEL_HL_TYPE_OBJECT_COLUMN_MARKER" vbProcedure="false">'Виды объектов'!$F$9</definedName>
    <definedName function="false" hidden="false" name="ORG_VD_TKO_VD" vbProcedure="false">'Виды объектов'!$E$13:$E$16</definedName>
    <definedName function="false" hidden="false" name="ORG_VD_TKO_VD_ID" vbProcedure="false">'Виды объектов'!$O$13:$O$16</definedName>
    <definedName function="false" hidden="false" name="ORG_VD_VD" vbProcedure="false">'Общая информация по ВД'!$F$11:$F$13</definedName>
    <definedName function="false" hidden="false" name="ORG_VD_VD_ID" vbProcedure="false">'Общая информация по ВД'!$AM$11:$AM$13</definedName>
    <definedName function="false" hidden="false" name="OTKO_FIN_SRC_LIST" vbProcedure="false">TEHSHEET!$BN$4:$BN$18</definedName>
    <definedName function="false" hidden="false" name="OTKO_FIN_SRC_VLD_LIST" vbProcedure="false">TEHSHEET!$BN$39:$BN$48</definedName>
    <definedName function="false" hidden="false" name="OTKO_IP_EVENT_CI_STAGE_LIST" vbProcedure="false">TEHSHEET!$BN$97:$BN$104</definedName>
    <definedName function="false" hidden="false" name="OTKO_IP_EVENT_GROUP_LIST" vbProcedure="false">TEHSHEET!$BN$69:$BN$74</definedName>
    <definedName function="false" hidden="false" name="OTKO_IP_EVENT_TYPE_LIST" vbProcedure="false">TEHSHEET!$BN$108</definedName>
    <definedName function="false" hidden="false" name="otv_lico_name" vbProcedure="false">Титульный!$F$67:$F$70</definedName>
    <definedName function="false" hidden="false" name="pCng_P_T_TERMS_1" vbProcedure="false">Договоры!$E$14:$E$15</definedName>
    <definedName function="false" hidden="false" name="pCng_P_T_TERMS_2" vbProcedure="false">Договоры!$E$17:$E$18</definedName>
    <definedName function="false" hidden="false" name="pCng_P_T_TERMS_3" vbProcedure="false">Договоры!$E$21:$E$22</definedName>
    <definedName function="false" hidden="false" name="pCng_P_T_TERMS_4" vbProcedure="false">Договоры!$E$25:$E$26</definedName>
    <definedName function="false" hidden="false" name="pDel_B_STANDARTS" vbProcedure="false">'Стандарты качества'!$H$12:$H$13</definedName>
    <definedName function="false" hidden="false" name="pDel_CHANGE_INFO" vbProcedure="false">'Сведения об изменении'!$C$12:$C$13</definedName>
    <definedName function="false" hidden="false" name="pDel_Comm" vbProcedure="false">Комментарии!$C$11:$C$12</definedName>
    <definedName function="false" hidden="false" name="pDel_DIFFERENTIATION_AREA" vbProcedure="false">Дифференциация!$G$12:$G$16</definedName>
    <definedName function="false" hidden="false" name="pDel_DIFFERENTIATION_SYSTEM" vbProcedure="false">Дифференциация!$K$12:$K$16</definedName>
    <definedName function="false" hidden="false" name="pDel_DIFFERENTIATION_VD" vbProcedure="false">Дифференциация!$C$12:$C$16</definedName>
    <definedName function="false" hidden="false" name="pDel_ED" vbProcedure="false">ЭД!$C$12:$C$13</definedName>
    <definedName function="false" hidden="false" name="pDel_IP_DETAILED_EVENT" vbProcedure="false">'ИП. Детализация'!$G$13</definedName>
    <definedName function="false" hidden="false" name="pDel_IP_DETAILED_IST_FIN" vbProcedure="false">'ИП. Детализация'!$Z$13</definedName>
    <definedName function="false" hidden="false" name="pDel_IP_DETAILED_OBJECT" vbProcedure="false">'ИП. Детализация'!$N$13</definedName>
    <definedName function="false" hidden="false" name="pDel_IP_MAIN" vbProcedure="false">ИП!$E$11:$E$13</definedName>
    <definedName function="false" hidden="false" name="pDel_IP_MAIN_PROPERTY" vbProcedure="false">ИП!$Z$11:$Z$13</definedName>
    <definedName function="false" hidden="false" name="pDel_IP_QRE_CLAIM" vbProcedure="false">'ИП. КНЭ'!$E$18:$E$20</definedName>
    <definedName function="false" hidden="false" name="pDel_List07" vbProcedure="false">'Сведения об изменении'!$C$11:$C$13</definedName>
    <definedName function="false" hidden="false" name="pDel_LT_AREA" vbProcedure="false">'Список территорий'!$C$12:$C$15</definedName>
    <definedName function="false" hidden="false" name="pDel_LT_MO" vbProcedure="false">'Список территорий'!$D$11:$D$15</definedName>
    <definedName function="false" hidden="false" name="pDel_ORG_INFO" vbProcedure="false">'Общая информация об организации'!$C$40:$C$50</definedName>
    <definedName function="false" hidden="false" name="pDel_ORG_TERRITORY" vbProcedure="false">'Сведения по территориям'!$D$11:$D$13</definedName>
    <definedName function="false" hidden="false" name="pDel_ORG_VD" vbProcedure="false">'Общая информация по ВД'!$C$11:$C$13</definedName>
    <definedName function="false" hidden="false" name="pDel_P_PROCEDURE_TC" vbProcedure="false">'Порядок ТП'!$C$26:$C$40</definedName>
    <definedName function="false" hidden="false" name="pDel_P_T_TERMS" vbProcedure="false">Договоры!$C$14:$C$26</definedName>
    <definedName function="false" hidden="false" name="pDel_Q_LIMIT" vbProcedure="false">Ограничения!$C$31</definedName>
    <definedName function="false" hidden="false" name="pDel_Q_TP" vbProcedure="false">ТП!$C$14</definedName>
    <definedName function="false" hidden="false" name="pDel_R_B_Purch" vbProcedure="false">'Сведения о закупках'!$C$13:$C$14</definedName>
    <definedName function="false" hidden="false" name="periodEnd" vbProcedure="false">Титульный!$F$12</definedName>
    <definedName function="false" hidden="false" name="PeriodIsEmpty" vbProcedure="false">TEHSHEET!$I$45</definedName>
    <definedName function="false" hidden="false" name="PeriodIsEmptyList" vbProcedure="false">TEHSHEET!$I$46:$I$53</definedName>
    <definedName function="false" hidden="false" name="periodStart" vbProcedure="false">Титульный!$F$11</definedName>
    <definedName function="false" hidden="false" name="pHeader_B_FHD" vbProcedure="false">'Показатели ФХД'!$29:$29</definedName>
    <definedName function="false" hidden="false" name="pHeader_B_FHD_TKO" vbProcedure="false">'ТКО. Показатели ФХД'!$14:$14</definedName>
    <definedName function="false" hidden="false" name="pHeader_B_FHD_TKO_TRANS" vbProcedure="false">'ТКО. Транс. Показатели ФХД'!$14:$14</definedName>
    <definedName function="false" hidden="false" name="pHeader_B_KNE" vbProcedure="false">'Показатели КНЭ'!$11:$11</definedName>
    <definedName function="false" hidden="false" name="pHeader_B_OTEP" vbProcedure="false">'Показатели ОТЭП'!$14:$14</definedName>
    <definedName function="false" hidden="false" name="pHeader_Q_LIMIT" vbProcedure="false">Ограничения!$30:$30</definedName>
    <definedName function="false" hidden="false" name="pHeader_Q_PH" vbProcedure="false">'Потребительские характеристики'!$13:$13</definedName>
    <definedName function="false" hidden="false" name="pHeader_Q_TP" vbProcedure="false">ТП!$13:$13</definedName>
    <definedName function="false" hidden="false" name="pHeader_ver_B_FHD" vbProcedure="false">'Показатели ФХД'!$C:$C</definedName>
    <definedName function="false" hidden="false" name="pHeader_ver_B_FHD_TKO" vbProcedure="false">'ТКО. Показатели ФХД'!$C:$C</definedName>
    <definedName function="false" hidden="false" name="pHeader_ver_B_FHD_TKO_TRANS" vbProcedure="false">'ТКО. Транс. Показатели ФХД'!$C:$C</definedName>
    <definedName function="false" hidden="false" name="pHeader_ver_B_KNE" vbProcedure="false">'Показатели КНЭ'!$B:$B</definedName>
    <definedName function="false" hidden="false" name="pHeader_ver_B_OTEP" vbProcedure="false">'Показатели ОТЭП'!$G:$G</definedName>
    <definedName function="false" hidden="false" name="pHeader_ver_P_PROCEDURE_TC" vbProcedure="false">'Порядок ТП'!$A$21:$A$40</definedName>
    <definedName function="false" hidden="false" name="pHeader_ver_Q_LIMIT" vbProcedure="false">Ограничения!$E:$E</definedName>
    <definedName function="false" hidden="false" name="pIns_B_FHD20_DIFFERENTIATION" vbProcedure="false">'Показатели ФХД &gt;20%'!$D$23</definedName>
    <definedName function="false" hidden="false" name="pIns_B_FHD_1" vbProcedure="false">'Показатели ФХД'!$F$40</definedName>
    <definedName function="false" hidden="false" name="pIns_B_FHD_2" vbProcedure="false">'Показатели ФХД'!$F$71</definedName>
    <definedName function="false" hidden="false" name="pIns_B_FHD_3" vbProcedure="false">'Показатели ФХД'!$F$101</definedName>
    <definedName function="false" hidden="false" name="pIns_B_FHD_4" vbProcedure="false">'Показатели ФХД'!$F$119</definedName>
    <definedName function="false" hidden="false" name="pIns_B_FHD_5" vbProcedure="false">'Показатели ФХД'!$F$122</definedName>
    <definedName function="false" hidden="false" name="pIns_B_FHD_6" vbProcedure="false">'Показатели ФХД'!$F$125</definedName>
    <definedName function="false" hidden="false" name="pIns_B_FHD_DIFFERENTIATION" vbProcedure="false">'Показатели ФХД'!$J$24</definedName>
    <definedName function="false" hidden="false" name="pIns_B_FHD_TKO_2" vbProcedure="false">'ТКО. Показатели ФХД'!$F$34</definedName>
    <definedName function="false" hidden="false" name="pIns_B_FHD_TKO_DIFFERENTIATION" vbProcedure="false">'ТКО. Показатели ФХД'!$J$9</definedName>
    <definedName function="false" hidden="false" name="pIns_B_FHD_TKO_TRANS_2" vbProcedure="false">'ТКО. Транс. Показатели ФХД'!$F$29</definedName>
    <definedName function="false" hidden="false" name="pIns_B_FHD_TKO_TRANS_DIFFERENTIATION" vbProcedure="false">'ТКО. Транс. Показатели ФХД'!$J$9</definedName>
    <definedName function="false" hidden="false" name="pIns_B_KNE_DIFFERENTIATION" vbProcedure="false">'Показатели КНЭ'!$K$6</definedName>
    <definedName function="false" hidden="false" name="pIns_B_OTEP_2" vbProcedure="false">'Показатели ОТЭП'!$J$18</definedName>
    <definedName function="false" hidden="false" name="pIns_B_OTEP_DIFFERENTIATION" vbProcedure="false">'Показатели ОТЭП'!$N$9</definedName>
    <definedName function="false" hidden="false" name="pIns_B_STANDARTS" vbProcedure="false">'Стандарты качества'!$J$13</definedName>
    <definedName function="false" hidden="false" name="pIns_CHANGE_INFO" vbProcedure="false">'Сведения об изменении'!$E$13</definedName>
    <definedName function="false" hidden="false" name="pIns_Comm" vbProcedure="false">Комментарии!$E$12</definedName>
    <definedName function="false" hidden="false" name="pIns_ED" vbProcedure="false">ЭД!$E$13</definedName>
    <definedName function="false" hidden="false" name="pIns_IP_DETAILED" vbProcedure="false">'ИП. Детализация'!$F$14</definedName>
    <definedName function="false" hidden="false" name="pIns_IP_FIN_PLAN" vbProcedure="false">'ИП. Финансовый план'!$K$8</definedName>
    <definedName function="false" hidden="false" name="pIns_IP_MAIN" vbProcedure="false">ИП!$G$13</definedName>
    <definedName function="false" hidden="false" name="pIns_IP_QRE" vbProcedure="false">'ИП. КНЭ'!$F$21</definedName>
    <definedName function="false" hidden="false" name="pIns_List07" vbProcedure="false">'Сведения об изменении'!$E$13</definedName>
    <definedName function="false" hidden="false" name="pIns_LT_AREA" vbProcedure="false">'Список территорий'!$G$15</definedName>
    <definedName function="false" hidden="false" name="pIns_ORG_INFO_1" vbProcedure="false">'Общая информация об организации'!$E$42</definedName>
    <definedName function="false" hidden="false" name="pIns_ORG_INFO_2" vbProcedure="false">'Общая информация об организации'!$E$50</definedName>
    <definedName function="false" hidden="false" name="pIns_ORG_INFO_3" vbProcedure="false">'Общая информация об организации'!$E$24</definedName>
    <definedName function="false" hidden="false" name="pIns_ORG_TERRITORY" vbProcedure="false">'Сведения по территориям'!$G$13</definedName>
    <definedName function="false" hidden="false" name="pIns_ORG_VD_1" vbProcedure="false">'Общая информация по ВД'!$E$13</definedName>
    <definedName function="false" hidden="false" name="pIns_ORG_VD_2" vbProcedure="false">'Общая информация по ВД'!$F$13</definedName>
    <definedName function="false" hidden="false" name="pIns_ORG_VD_TKO_1" vbProcedure="false">'Виды объектов'!$E$16</definedName>
    <definedName function="false" hidden="false" name="pIns_PT_VTAR_A" vbProcedure="false">'ТС. Т-ТЭ | &gt;=25МВт'!$T$57</definedName>
    <definedName function="false" hidden="false" name="pIns_PT_VTAR_A_COLDVSNA" vbProcedure="false">'ХВС. Т-пит'!$T$53</definedName>
    <definedName function="false" hidden="false" name="pIns_PT_VTAR_A_COLDVSNA_OFFER5" vbProcedure="false">Предложение!$G$299</definedName>
    <definedName function="false" hidden="false" name="pIns_PT_VTAR_A_COLDVSNA_OFFER_1" vbProcedure="false">Предложение!$G$53</definedName>
    <definedName function="false" hidden="false" name="pIns_PT_VTAR_A_COLDVSNA_OFFER_2" vbProcedure="false">Предложение!$G$116</definedName>
    <definedName function="false" hidden="false" name="pIns_PT_VTAR_A_COLDVSNA_OFFER_3" vbProcedure="false">Предложение!$G$177</definedName>
    <definedName function="false" hidden="false" name="pIns_PT_VTAR_A_COLDVSNA_OFFER_4" vbProcedure="false">Предложение!$G$238</definedName>
    <definedName function="false" hidden="false" name="pIns_PT_VTAR_A_COLDVSNA_OFFER_5" vbProcedure="false">Предложение!$G$299</definedName>
    <definedName function="false" hidden="false" name="pIns_PT_VTAR_A_HOTVSNA" vbProcedure="false">'ГВС. Т-гор.вода'!$T$54</definedName>
    <definedName function="false" hidden="false" name="pIns_PT_VTAR_A_HOTVSNA_OFFER_1" vbProcedure="false">Предложение!$G$68</definedName>
    <definedName function="false" hidden="false" name="pIns_PT_VTAR_A_HOTVSNA_OFFER_2" vbProcedure="false">Предложение!$G$131</definedName>
    <definedName function="false" hidden="false" name="pIns_PT_VTAR_A_HOTVSNA_OFFER_3" vbProcedure="false">Предложение!$G$192</definedName>
    <definedName function="false" hidden="false" name="pIns_PT_VTAR_A_HOTVSNA_OFFER_4" vbProcedure="false">Предложение!$G$253</definedName>
    <definedName function="false" hidden="false" name="pIns_PT_VTAR_A_HOTVSNA_OFFER_5" vbProcedure="false">Предложение!$G$314</definedName>
    <definedName function="false" hidden="false" name="pIns_PT_VTAR_A_OFFER_1" vbProcedure="false">Предложение!$G$26</definedName>
    <definedName function="false" hidden="false" name="pIns_PT_VTAR_A_OFFER_2" vbProcedure="false">Предложение!$G$89</definedName>
    <definedName function="false" hidden="false" name="pIns_PT_VTAR_A_OFFER_3" vbProcedure="false">Предложение!$G$150</definedName>
    <definedName function="false" hidden="false" name="pIns_PT_VTAR_A_OFFER_4" vbProcedure="false">Предложение!$G$211</definedName>
    <definedName function="false" hidden="false" name="pIns_PT_VTAR_A_OFFER_5" vbProcedure="false">Предложение!$G$272</definedName>
    <definedName function="false" hidden="false" name="pIns_PT_VTAR_A_VOTV" vbProcedure="false">'ВО. Т-во'!$T$53</definedName>
    <definedName function="false" hidden="false" name="pIns_PT_VTAR_A_VOTV_OFFER_1" vbProcedure="false">Предложение!$G$77</definedName>
    <definedName function="false" hidden="false" name="pIns_PT_VTAR_A_VOTV_OFFER_2" vbProcedure="false">Предложение!$G$140</definedName>
    <definedName function="false" hidden="false" name="pIns_PT_VTAR_A_VOTV_OFFER_3" vbProcedure="false">Предложение!$G$201</definedName>
    <definedName function="false" hidden="false" name="pIns_PT_VTAR_A_VOTV_OFFER_4" vbProcedure="false">Предложение!$G$262</definedName>
    <definedName function="false" hidden="false" name="pIns_PT_VTAR_A_VOTV_OFFER_5" vbProcedure="false">Предложение!$G$323</definedName>
    <definedName function="false" hidden="false" name="pIns_PT_VTAR_B" vbProcedure="false">'ТС. Т-ТЭ | ТСО'!$T$57</definedName>
    <definedName function="false" hidden="false" name="pIns_PT_VTAR_B_COLDVSNA" vbProcedure="false">'ХВС. Т-тех'!$T$53</definedName>
    <definedName function="false" hidden="false" name="pIns_PT_VTAR_B_COLDVSNA_OFFER_1" vbProcedure="false">Предложение!$G$56</definedName>
    <definedName function="false" hidden="false" name="pIns_PT_VTAR_B_COLDVSNA_OFFER_2" vbProcedure="false">Предложение!$G$119</definedName>
    <definedName function="false" hidden="false" name="pIns_PT_VTAR_B_COLDVSNA_OFFER_3" vbProcedure="false">Предложение!$G$180</definedName>
    <definedName function="false" hidden="false" name="pIns_PT_VTAR_B_COLDVSNA_OFFER_4" vbProcedure="false">Предложение!$G$241</definedName>
    <definedName function="false" hidden="false" name="pIns_PT_VTAR_B_COLDVSNA_OFFER_5" vbProcedure="false">Предложение!$G$302</definedName>
    <definedName function="false" hidden="false" name="pIns_PT_VTAR_B_HOTVSNA" vbProcedure="false">'ГВС. Т-транс'!$T$54</definedName>
    <definedName function="false" hidden="false" name="pIns_PT_VTAR_B_HOTVSNA_OFFER_1" vbProcedure="false">Предложение!$G$71</definedName>
    <definedName function="false" hidden="false" name="pIns_PT_VTAR_B_HOTVSNA_OFFER_2" vbProcedure="false">Предложение!$G$134</definedName>
    <definedName function="false" hidden="false" name="pIns_PT_VTAR_B_HOTVSNA_OFFER_3" vbProcedure="false">Предложение!$G$195</definedName>
    <definedName function="false" hidden="false" name="pIns_PT_VTAR_B_HOTVSNA_OFFER_4" vbProcedure="false">Предложение!$G$256</definedName>
    <definedName function="false" hidden="false" name="pIns_PT_VTAR_B_HOTVSNA_OFFER_5" vbProcedure="false">Предложение!$G$317</definedName>
    <definedName function="false" hidden="false" name="pIns_PT_VTAR_B_OFFER_1" vbProcedure="false">Предложение!$G$29</definedName>
    <definedName function="false" hidden="false" name="pIns_PT_VTAR_B_OFFER_2" vbProcedure="false">Предложение!$G$92</definedName>
    <definedName function="false" hidden="false" name="pIns_PT_VTAR_B_OFFER_3" vbProcedure="false">Предложение!$G$153</definedName>
    <definedName function="false" hidden="false" name="pIns_PT_VTAR_B_OFFER_4" vbProcedure="false">Предложение!$G$214</definedName>
    <definedName function="false" hidden="false" name="pIns_PT_VTAR_B_OFFER_5" vbProcedure="false">Предложение!$G$275</definedName>
    <definedName function="false" hidden="false" name="pIns_PT_VTAR_B_VOTV" vbProcedure="false">'ВО. Т-транс'!$T$53</definedName>
    <definedName function="false" hidden="false" name="pIns_PT_VTAR_B_VOTV_OFFER_1" vbProcedure="false">Предложение!$G$80</definedName>
    <definedName function="false" hidden="false" name="pIns_PT_VTAR_B_VOTV_OFFER_2" vbProcedure="false">Предложение!$G$143</definedName>
    <definedName function="false" hidden="false" name="pIns_PT_VTAR_B_VOTV_OFFER_3" vbProcedure="false">Предложение!$G$204</definedName>
    <definedName function="false" hidden="false" name="pIns_PT_VTAR_B_VOTV_OFFER_4" vbProcedure="false">Предложение!$G$265</definedName>
    <definedName function="false" hidden="false" name="pIns_PT_VTAR_B_VOTV_OFFER_5" vbProcedure="false">Предложение!$G$326</definedName>
    <definedName function="false" hidden="false" name="pIns_PT_VTAR_C" vbProcedure="false">'ТС. Т-ТН'!$T$57</definedName>
    <definedName function="false" hidden="false" name="pIns_PT_VTAR_C_COLDVSNA" vbProcedure="false">'ХВС. Т-транс'!$T$53</definedName>
    <definedName function="false" hidden="false" name="pIns_PT_VTAR_C_COLDVSNA_OFFER_1" vbProcedure="false">Предложение!$G$59</definedName>
    <definedName function="false" hidden="false" name="pIns_PT_VTAR_C_COLDVSNA_OFFER_2" vbProcedure="false">Предложение!$G$122</definedName>
    <definedName function="false" hidden="false" name="pIns_PT_VTAR_C_COLDVSNA_OFFER_3" vbProcedure="false">Предложение!$G$183</definedName>
    <definedName function="false" hidden="false" name="pIns_PT_VTAR_C_COLDVSNA_OFFER_4" vbProcedure="false">Предложение!$G$244</definedName>
    <definedName function="false" hidden="false" name="pIns_PT_VTAR_C_COLDVSNA_OFFER_5" vbProcedure="false">Предложение!$G$305</definedName>
    <definedName function="false" hidden="false" name="pIns_PT_VTAR_C_HOTVSNA" vbProcedure="false">'ГВС. Т-подкл'!$T$63</definedName>
    <definedName function="false" hidden="false" name="pIns_PT_VTAR_C_HOTVSNA_OFFER_1" vbProcedure="false">Предложение!$G$74</definedName>
    <definedName function="false" hidden="false" name="pIns_PT_VTAR_C_HOTVSNA_OFFER_2" vbProcedure="false">Предложение!$G$137</definedName>
    <definedName function="false" hidden="false" name="pIns_PT_VTAR_C_HOTVSNA_OFFER_3" vbProcedure="false">Предложение!$G$198</definedName>
    <definedName function="false" hidden="false" name="pIns_PT_VTAR_C_HOTVSNA_OFFER_4" vbProcedure="false">Предложение!$G$259</definedName>
    <definedName function="false" hidden="false" name="pIns_PT_VTAR_C_HOTVSNA_OFFER_5" vbProcedure="false">Предложение!$G$320</definedName>
    <definedName function="false" hidden="false" name="pIns_PT_VTAR_C_OFFER_1" vbProcedure="false">Предложение!$G$32</definedName>
    <definedName function="false" hidden="false" name="pIns_PT_VTAR_C_OFFER_2" vbProcedure="false">Предложение!$G$95</definedName>
    <definedName function="false" hidden="false" name="pIns_PT_VTAR_C_OFFER_3" vbProcedure="false">Предложение!$G$156</definedName>
    <definedName function="false" hidden="false" name="pIns_PT_VTAR_C_OFFER_4" vbProcedure="false">Предложение!$G$217</definedName>
    <definedName function="false" hidden="false" name="pIns_PT_VTAR_C_OFFER_5" vbProcedure="false">Предложение!$G$278</definedName>
    <definedName function="false" hidden="false" name="pIns_PT_VTAR_C_VOTV" vbProcedure="false">'ВО. Т-подкл'!$T$63</definedName>
    <definedName function="false" hidden="false" name="pIns_PT_VTAR_C_VOTV_OFFER_1" vbProcedure="false">Предложение!$G$83</definedName>
    <definedName function="false" hidden="false" name="pIns_PT_VTAR_C_VOTV_OFFER_2" vbProcedure="false">Предложение!$G$146</definedName>
    <definedName function="false" hidden="false" name="pIns_PT_VTAR_C_VOTV_OFFER_3" vbProcedure="false">Предложение!$G$207</definedName>
    <definedName function="false" hidden="false" name="pIns_PT_VTAR_C_VOTV_OFFER_4" vbProcedure="false">Предложение!$G$268</definedName>
    <definedName function="false" hidden="false" name="pIns_PT_VTAR_C_VOTV_OFFER_5" vbProcedure="false">Предложение!$G$329</definedName>
    <definedName function="false" hidden="false" name="pIns_PT_VTAR_D" vbProcedure="false">'ТС. Т-гор.вода'!$V$65</definedName>
    <definedName function="false" hidden="false" name="pIns_PT_VTAR_D_COLDVSNA" vbProcedure="false">'ХВС. Т-подвоз'!$T$53</definedName>
    <definedName function="false" hidden="false" name="pIns_PT_VTAR_D_COLDVSNA_OFFER_1" vbProcedure="false">Предложение!$G$62</definedName>
    <definedName function="false" hidden="false" name="pIns_PT_VTAR_D_COLDVSNA_OFFER_2" vbProcedure="false">Предложение!$G$125</definedName>
    <definedName function="false" hidden="false" name="pIns_PT_VTAR_D_COLDVSNA_OFFER_3" vbProcedure="false">Предложение!$G$186</definedName>
    <definedName function="false" hidden="false" name="pIns_PT_VTAR_D_COLDVSNA_OFFER_4" vbProcedure="false">Предложение!$G$247</definedName>
    <definedName function="false" hidden="false" name="pIns_PT_VTAR_D_COLDVSNA_OFFER_5" vbProcedure="false">Предложение!$G$308</definedName>
    <definedName function="false" hidden="false" name="pIns_PT_VTAR_D_OFFER_1" vbProcedure="false">Предложение!$G$35</definedName>
    <definedName function="false" hidden="false" name="pIns_PT_VTAR_D_OFFER_2" vbProcedure="false">Предложение!$G$98</definedName>
    <definedName function="false" hidden="false" name="pIns_PT_VTAR_D_OFFER_3" vbProcedure="false">Предложение!$G$159</definedName>
    <definedName function="false" hidden="false" name="pIns_PT_VTAR_D_OFFER_4" vbProcedure="false">Предложение!$G$220</definedName>
    <definedName function="false" hidden="false" name="pIns_PT_VTAR_D_OFFER_5" vbProcedure="false">Предложение!$G$281</definedName>
    <definedName function="false" hidden="false" name="pIns_PT_VTAR_E1" vbProcedure="false">'ТС. Т-передача ТЭ'!$T$57</definedName>
    <definedName function="false" hidden="false" name="pIns_PT_VTAR_E1_OFFER_1" vbProcedure="false">Предложение!$G$38</definedName>
    <definedName function="false" hidden="false" name="pIns_PT_VTAR_E1_OFFER_2" vbProcedure="false">Предложение!$G$101</definedName>
    <definedName function="false" hidden="false" name="pIns_PT_VTAR_E1_OFFER_3" vbProcedure="false">Предложение!$G$162</definedName>
    <definedName function="false" hidden="false" name="pIns_PT_VTAR_E1_OFFER_4" vbProcedure="false">Предложение!$G$223</definedName>
    <definedName function="false" hidden="false" name="pIns_PT_VTAR_E1_OFFER_5" vbProcedure="false">Предложение!$G$284</definedName>
    <definedName function="false" hidden="false" name="pIns_PT_VTAR_E2" vbProcedure="false">'ТС. Т-передача ТН'!$T$57</definedName>
    <definedName function="false" hidden="false" name="pIns_PT_VTAR_E2_OFFER_1" vbProcedure="false">Предложение!$G$41</definedName>
    <definedName function="false" hidden="false" name="pIns_PT_VTAR_E2_OFFER_2" vbProcedure="false">Предложение!$G$104</definedName>
    <definedName function="false" hidden="false" name="pIns_PT_VTAR_E2_OFFER_3" vbProcedure="false">Предложение!$G$165</definedName>
    <definedName function="false" hidden="false" name="pIns_PT_VTAR_E2_OFFER_4" vbProcedure="false">Предложение!$G$226</definedName>
    <definedName function="false" hidden="false" name="pIns_PT_VTAR_E2_OFFER_5" vbProcedure="false">Предложение!$G$287</definedName>
    <definedName function="false" hidden="false" name="pIns_PT_VTAR_E_COLDVSNA" vbProcedure="false">'ХВС. Т-подкл'!$T$63</definedName>
    <definedName function="false" hidden="false" name="pIns_PT_VTAR_E_COLDVSNA_OFFER_1" vbProcedure="false">Предложение!$G$65</definedName>
    <definedName function="false" hidden="false" name="pIns_PT_VTAR_E_COLDVSNA_OFFER_2" vbProcedure="false">Предложение!$G$128</definedName>
    <definedName function="false" hidden="false" name="pIns_PT_VTAR_E_COLDVSNA_OFFER_3" vbProcedure="false">Предложение!$G$189</definedName>
    <definedName function="false" hidden="false" name="pIns_PT_VTAR_E_COLDVSNA_OFFER_4" vbProcedure="false">Предложение!$G$250</definedName>
    <definedName function="false" hidden="false" name="pIns_PT_VTAR_E_COLDVSNA_OFFER_5" vbProcedure="false">Предложение!$G$311</definedName>
    <definedName function="false" hidden="false" name="pIns_PT_VTAR_F" vbProcedure="false">'ТС. Резерв мощности'!$T$57</definedName>
    <definedName function="false" hidden="false" name="pIns_PT_VTAR_F_OFFER_1" vbProcedure="false">Предложение!$G$44</definedName>
    <definedName function="false" hidden="false" name="pIns_PT_VTAR_F_OFFER_2" vbProcedure="false">Предложение!$G$107</definedName>
    <definedName function="false" hidden="false" name="pIns_PT_VTAR_F_OFFER_3" vbProcedure="false">Предложение!$G$168</definedName>
    <definedName function="false" hidden="false" name="pIns_PT_VTAR_F_OFFER_4" vbProcedure="false">Предложение!$G$229</definedName>
    <definedName function="false" hidden="false" name="pIns_PT_VTAR_F_OFFER_5" vbProcedure="false">Предложение!$G$290</definedName>
    <definedName function="false" hidden="false" name="pIns_PT_VTAR_G" vbProcedure="false">'ТС. Т-подкл'!$T$62</definedName>
    <definedName function="false" hidden="false" name="pIns_PT_VTAR_G_OFFER_1" vbProcedure="false">Предложение!$G$47</definedName>
    <definedName function="false" hidden="false" name="pIns_PT_VTAR_G_OFFER_2" vbProcedure="false">Предложение!$G$110</definedName>
    <definedName function="false" hidden="false" name="pIns_PT_VTAR_G_OFFER_3" vbProcedure="false">Предложение!$G$171</definedName>
    <definedName function="false" hidden="false" name="pIns_PT_VTAR_G_OFFER_4" vbProcedure="false">Предложение!$G$232</definedName>
    <definedName function="false" hidden="false" name="pIns_PT_VTAR_G_OFFER_5" vbProcedure="false">Предложение!$G$293</definedName>
    <definedName function="false" hidden="false" name="pIns_PT_VTAR_H" vbProcedure="false">'ТС. Т-подкл(инд)'!$T$56</definedName>
    <definedName function="false" hidden="false" name="pIns_PT_VTAR_H_OFFER_1" vbProcedure="false">Предложение!$G$50</definedName>
    <definedName function="false" hidden="false" name="pIns_PT_VTAR_H_OFFER_2" vbProcedure="false">Предложение!$G$113</definedName>
    <definedName function="false" hidden="false" name="pIns_PT_VTAR_H_OFFER_3" vbProcedure="false">Предложение!$G$174</definedName>
    <definedName function="false" hidden="false" name="pIns_PT_VTAR_H_OFFER_4" vbProcedure="false">Предложение!$G$235</definedName>
    <definedName function="false" hidden="false" name="pIns_PT_VTAR_H_OFFER_5" vbProcedure="false">Предложение!$G$296</definedName>
    <definedName function="false" hidden="false" name="pIns_PT_VTAR_I" vbProcedure="false">'ТС. Т-ТЭ | предел'!$T$57</definedName>
    <definedName function="false" hidden="false" name="pIns_PT_VTAR_I_1" vbProcedure="false">'ТС. Т-ТЭ | индикат'!$T$57</definedName>
    <definedName function="false" hidden="false" name="pIns_P_PROCEDURE_TC_1" vbProcedure="false">'Порядок ТП'!$E$27</definedName>
    <definedName function="false" hidden="false" name="pIns_P_PROCEDURE_TC_2" vbProcedure="false">'Порядок ТП'!$E$30</definedName>
    <definedName function="false" hidden="false" name="pIns_P_PROCEDURE_TC_3" vbProcedure="false">'Порядок ТП'!$E$34</definedName>
    <definedName function="false" hidden="false" name="pIns_P_PROCEDURE_TC_4" vbProcedure="false">'Порядок ТП'!$E$37</definedName>
    <definedName function="false" hidden="false" name="pIns_P_PROCEDURE_TC_5" vbProcedure="false">'Порядок ТП'!$E$40</definedName>
    <definedName function="false" hidden="false" name="pIns_P_T_TERMS_1" vbProcedure="false">Договоры!$E$15</definedName>
    <definedName function="false" hidden="false" name="pIns_P_T_TERMS_2" vbProcedure="false">Договоры!$E$18</definedName>
    <definedName function="false" hidden="false" name="pIns_P_T_TERMS_3" vbProcedure="false">Договоры!$E$22</definedName>
    <definedName function="false" hidden="false" name="pIns_P_T_TERMS_4" vbProcedure="false">Договоры!$E$26</definedName>
    <definedName function="false" hidden="false" name="pIns_Q_LIMIT_1" vbProcedure="false">Ограничения!$E$33</definedName>
    <definedName function="false" hidden="false" name="pIns_Q_LIMIT_2" vbProcedure="false">Ограничения!$E$35</definedName>
    <definedName function="false" hidden="false" name="pIns_Q_LIMIT_3" vbProcedure="false">Ограничения!$E$37</definedName>
    <definedName function="false" hidden="false" name="pIns_Q_LIMIT_4" vbProcedure="false">Ограничения!$E$39</definedName>
    <definedName function="false" hidden="false" name="pIns_Q_LIMIT_DIFFERENTIATION" vbProcedure="false">Ограничения!$K$25</definedName>
    <definedName function="false" hidden="false" name="pIns_Q_PH_DIFFERENTIATION" vbProcedure="false">'Потребительские характеристики'!$K$8</definedName>
    <definedName function="false" hidden="false" name="pIns_Q_TP_1" vbProcedure="false">ТП!$E$22</definedName>
    <definedName function="false" hidden="false" name="pIns_Q_TP_DIFFERENTIATION" vbProcedure="false">ТП!$I$8</definedName>
    <definedName function="false" hidden="false" name="pIns_ROIV_CASE_case" vbProcedure="false">'Дела об установлении тарифов'!$F$11</definedName>
    <definedName function="false" hidden="false" name="pIns_ROIV_CASE_PUC_case" vbProcedure="false">'Дела об утверждении ПУЦ'!$F$11</definedName>
    <definedName function="false" hidden="false" name="pIns_ROIV_INFO_phone" vbProcedure="false">'Орган регулирования'!$E$21</definedName>
    <definedName function="false" hidden="false" name="pIns_ROIV_ORG_org" vbProcedure="false">'Перечень организаций'!$F$10</definedName>
    <definedName function="false" hidden="false" name="pIns_ROIV_OTV_org" vbProcedure="false">'Привлечение к ответственности'!$F$15</definedName>
    <definedName function="false" hidden="false" name="pIns_R_B_Purch_1" vbProcedure="false">'Сведения о закупках'!$E$14</definedName>
    <definedName function="false" hidden="false" name="pIns_ver_COLDVSNA_TARIFF_A_COLDVSNA" vbProcedure="false">'ХВС. Т-пит'!$AJ$37</definedName>
    <definedName function="false" hidden="false" name="pIns_ver_COLDVSNA_TARIFF_B_COLDVSNA" vbProcedure="false">'ХВС. Т-тех'!$AJ$37</definedName>
    <definedName function="false" hidden="false" name="pIns_ver_COLDVSNA_TARIFF_C_COLDVSNA" vbProcedure="false">'ХВС. Т-транс'!$AJ$37</definedName>
    <definedName function="false" hidden="false" name="pIns_ver_COLDVSNA_TARIFF_D_COLDVSNA" vbProcedure="false">'ХВС. Т-подвоз'!$AJ$37</definedName>
    <definedName function="false" hidden="false" name="pIns_ver_COLDVSNA_TARIFF_E_COLDVSNA" vbProcedure="false">'ХВС. Т-подкл'!$BB$41</definedName>
    <definedName function="false" hidden="false" name="pIns_ver_HEAT_TARIFF_A" vbProcedure="false">'ТС. Т-ТЭ | &gt;=25МВт'!$AL$39</definedName>
    <definedName function="false" hidden="false" name="pIns_ver_HEAT_TARIFF_B" vbProcedure="false">'ТС. Т-ТЭ | ТСО'!$AL$39</definedName>
    <definedName function="false" hidden="false" name="pIns_ver_HEAT_TARIFF_C" vbProcedure="false">'ТС. Т-ТН'!$AL$39</definedName>
    <definedName function="false" hidden="false" name="pIns_ver_HEAT_TARIFF_D" vbProcedure="false">'ТС. Т-гор.вода'!$AP$43</definedName>
    <definedName function="false" hidden="false" name="pIns_ver_HEAT_TARIFF_E1" vbProcedure="false">'ТС. Т-передача ТЭ'!$AL$39</definedName>
    <definedName function="false" hidden="false" name="pIns_ver_HEAT_TARIFF_E2" vbProcedure="false">'ТС. Т-передача ТН'!$AL$39</definedName>
    <definedName function="false" hidden="false" name="pIns_ver_HEAT_TARIFF_F" vbProcedure="false">'ТС. Резерв мощности'!$AL$39</definedName>
    <definedName function="false" hidden="false" name="pIns_ver_HEAT_TARIFF_G" vbProcedure="false">'ТС. Т-подкл'!$AT$40</definedName>
    <definedName function="false" hidden="false" name="pIns_ver_HEAT_TARIFF_H" vbProcedure="false">'ТС. Т-подкл(инд)'!$AJ$37</definedName>
    <definedName function="false" hidden="false" name="pIns_ver_HEAT_TARIFF_I" vbProcedure="false">'ТС. Т-ТЭ | предел'!$AL$39</definedName>
    <definedName function="false" hidden="false" name="pIns_ver_HEAT_TARIFF_I_1" vbProcedure="false">'ТС. Т-ТЭ | индикат'!$AL$39</definedName>
    <definedName function="false" hidden="false" name="pIns_ver_HOTVSNA_TARIFF_A_HOTVSNA" vbProcedure="false">'ГВС. Т-гор.вода'!$AR$37</definedName>
    <definedName function="false" hidden="false" name="pIns_ver_HOTVSNA_TARIFF_B_HOTVSNA" vbProcedure="false">'ГВС. Т-транс'!$AR$37</definedName>
    <definedName function="false" hidden="false" name="pIns_ver_HOTVSNA_TARIFF_C_HOTVSNA" vbProcedure="false">'ГВС. Т-подкл'!$BB$41</definedName>
    <definedName function="false" hidden="false" name="pIns_ver_VOTV_TARIFF_A_VOTV" vbProcedure="false">'ВО. Т-во'!$AJ$37</definedName>
    <definedName function="false" hidden="false" name="pIns_ver_VOTV_TARIFF_B_VOTV" vbProcedure="false">'ВО. Т-транс'!$AJ$37</definedName>
    <definedName function="false" hidden="false" name="pIns_ver_VOTV_TARIFF_C_VOTV" vbProcedure="false">'ВО. Т-подкл'!$BB$41</definedName>
    <definedName function="false" hidden="false" name="pNote_LIMIT" vbProcedure="false">Ограничения!$K$26</definedName>
    <definedName function="false" hidden="false" name="pNote_Q_PH" vbProcedure="false">'Потребительские характеристики'!$K$9</definedName>
    <definedName function="false" hidden="false" name="pNum_Q_LIMIT" vbProcedure="false">Ограничения!$D$31</definedName>
    <definedName function="false" hidden="false" name="PROCEDURE_TC_NAME_FORM" vbProcedure="false">DATA_FORMS!$C$30</definedName>
    <definedName function="false" hidden="false" name="PT_ADD_HL_CS_COLUMN_MARKER" vbProcedure="false">'Перечень тарифов'!$R$8</definedName>
    <definedName function="false" hidden="false" name="PT_ADD_HL_IST_TE_COLUMN_MARKER" vbProcedure="false">'Перечень тарифов'!$V$8</definedName>
    <definedName function="false" hidden="false" name="PT_ADD_HL_NTAR_COLUMN_MARKER" vbProcedure="false">'Перечень тарифов'!$J$8</definedName>
    <definedName function="false" hidden="false" name="PT_ADD_HL_TER_COLUMN_MARKER" vbProcedure="false">'Перечень тарифов'!$N$8</definedName>
    <definedName function="false" hidden="false" name="PT_ADD_HL_VTAR_COLUMN_MARKER" vbProcedure="false">'Перечень тарифов'!$E$8</definedName>
    <definedName function="false" hidden="false" name="pt_cs_1" vbProcedure="false">'ТС. Т-ТЭ | &gt;=25МВт'!$45:$54</definedName>
    <definedName function="false" hidden="false" name="pt_cs_10" vbProcedure="false">'ХВС. Т-тех'!$43:$50</definedName>
    <definedName function="false" hidden="false" name="pt_cs_11" vbProcedure="false">'ХВС. Т-транс'!$43:$50</definedName>
    <definedName function="false" hidden="false" name="pt_cs_12" vbProcedure="false">'ХВС. Т-подвоз'!$43:$50</definedName>
    <definedName function="false" hidden="false" name="pt_cs_13" vbProcedure="false">'ХВС. Т-подкл'!$48:$60</definedName>
    <definedName function="false" hidden="false" name="pt_cs_14" vbProcedure="false">'ГВС. Т-гор.вода'!$44:$51</definedName>
    <definedName function="false" hidden="false" name="pt_cs_15" vbProcedure="false">'ГВС. Т-транс'!$44:$51</definedName>
    <definedName function="false" hidden="false" name="pt_cs_16" vbProcedure="false">'ГВС. Т-подкл'!$48:$60</definedName>
    <definedName function="false" hidden="false" name="pt_cs_17" vbProcedure="false">'ВО. Т-во'!$43:$50</definedName>
    <definedName function="false" hidden="false" name="pt_cs_18" vbProcedure="false">'ВО. Т-транс'!$43:$50</definedName>
    <definedName function="false" hidden="false" name="pt_cs_19" vbProcedure="false">'ВО. Т-подкл'!$48:$60</definedName>
    <definedName function="false" hidden="false" name="pt_cs_2" vbProcedure="false">'ТС. Т-ТЭ | ТСО'!$45:$54</definedName>
    <definedName function="false" hidden="false" name="pt_cs_20" vbProcedure="false">'ТС. Т-подкл(инд)'!$44:$52</definedName>
    <definedName function="false" hidden="false" name="pt_cs_21" vbProcedure="false">'ТС. Т-ТЭ | предел'!$45:$54</definedName>
    <definedName function="false" hidden="false" name="pt_cs_21_1" vbProcedure="false">'ТС. Т-ТЭ | индикат'!$45:$54</definedName>
    <definedName function="false" hidden="false" name="pt_cs_3" vbProcedure="false">'ТС. Т-ТН'!$45:$54</definedName>
    <definedName function="false" hidden="false" name="pt_cs_4" vbProcedure="false">'ТС. Т-гор.вода'!$51:$62</definedName>
    <definedName function="false" hidden="false" name="pt_cs_5" vbProcedure="false">'ТС. Т-передача ТЭ'!$45:$54</definedName>
    <definedName function="false" hidden="false" name="pt_cs_6" vbProcedure="false">'ТС. Т-передача ТН'!$45:$54</definedName>
    <definedName function="false" hidden="false" name="pt_cs_7" vbProcedure="false">'ТС. Резерв мощности'!$45:$54</definedName>
    <definedName function="false" hidden="false" name="pt_cs_8" vbProcedure="false">'ТС. Т-подкл'!$47:$58</definedName>
    <definedName function="false" hidden="false" name="pt_cs_9" vbProcedure="false">'ХВС. Т-пит'!$43:$50</definedName>
    <definedName function="false" hidden="false" name="PT_DEL_HL_CS_COLUMN_MARKER" vbProcedure="false">'Перечень тарифов'!$P$8</definedName>
    <definedName function="false" hidden="false" name="PT_DEL_HL_IST_TE_COLUMN_MARKER" vbProcedure="false">'Перечень тарифов'!$T$8</definedName>
    <definedName function="false" hidden="false" name="PT_DEL_HL_NTAR_COLUMN_MARKER" vbProcedure="false">'Перечень тарифов'!$H$8</definedName>
    <definedName function="false" hidden="false" name="PT_DEL_HL_TER_COLUMN_MARKER" vbProcedure="false">'Перечень тарифов'!$L$8</definedName>
    <definedName function="false" hidden="false" name="PT_DEL_HL_VTAR_COLUMN_MARKER" vbProcedure="false">'Перечень тарифов'!$C$8</definedName>
    <definedName function="false" hidden="false" name="PT_DIAMETERS_2_LIST" vbProcedure="false">TEHSHEET!$AZ$76:$AZ$82</definedName>
    <definedName function="false" hidden="false" name="PT_DIAMETERS_LIST" vbProcedure="false">TEHSHEET!$AZ$60:$AZ$64</definedName>
    <definedName function="false" hidden="false" name="PT_DIFFERENTIATION_CS" vbProcedure="false">'Перечень тарифов'!$AL$12:$AL$137</definedName>
    <definedName function="false" hidden="false" name="PT_DIFFERENTIATION_CS_ID" vbProcedure="false">'Перечень тарифов'!$AF$12:$AF$137</definedName>
    <definedName function="false" hidden="false" name="PT_DIFFERENTIATION_IST_TE" vbProcedure="false">'Перечень тарифов'!$AM$12:$AM$137</definedName>
    <definedName function="false" hidden="false" name="PT_DIFFERENTIATION_IST_TE_ID" vbProcedure="false">'Перечень тарифов'!$AG$12:$AG$137</definedName>
    <definedName function="false" hidden="false" name="PT_DIFFERENTIATION_NTAR" vbProcedure="false">'Перечень тарифов'!$AJ$12:$AJ$137</definedName>
    <definedName function="false" hidden="false" name="PT_DIFFERENTIATION_NTAR_ID" vbProcedure="false">'Перечень тарифов'!$AD$12:$AD$137</definedName>
    <definedName function="false" hidden="false" name="PT_DIFFERENTIATION_NUM_CS" vbProcedure="false">'Перечень тарифов'!$AP$12:$AP$137</definedName>
    <definedName function="false" hidden="false" name="PT_DIFFERENTIATION_NUM_IST_TE" vbProcedure="false">'Перечень тарифов'!$AQ$12:$AQ$137</definedName>
    <definedName function="false" hidden="false" name="PT_DIFFERENTIATION_NUM_NTAR" vbProcedure="false">'Перечень тарифов'!$AN$12:$AN$137</definedName>
    <definedName function="false" hidden="false" name="PT_DIFFERENTIATION_NUM_TER" vbProcedure="false">'Перечень тарифов'!$AO$12:$AO$137</definedName>
    <definedName function="false" hidden="false" name="PT_DIFFERENTIATION_TER" vbProcedure="false">'Перечень тарифов'!$AK$12:$AK$137</definedName>
    <definedName function="false" hidden="false" name="PT_DIFFERENTIATION_TER_ID" vbProcedure="false">'Перечень тарифов'!$AE$12:$AE$137</definedName>
    <definedName function="false" hidden="false" name="PT_DIFFERENTIATION_VDET" vbProcedure="false">'Перечень тарифов'!$AI$12:$AI$137</definedName>
    <definedName function="false" hidden="false" name="PT_DIFFERENTIATION_VTAR" vbProcedure="false">'Перечень тарифов'!$AH$12:$AH$137</definedName>
    <definedName function="false" hidden="false" name="PT_DIFFERENTIATION_VTAR_ID" vbProcedure="false">'Перечень тарифов'!$AC$12:$AC$137</definedName>
    <definedName function="false" hidden="false" name="PT_FLAG_CS_COLUMN_MARKER" vbProcedure="false">'Перечень тарифов'!$O$8</definedName>
    <definedName function="false" hidden="false" name="PT_FLAG_IST_TE_COLUMN_MARKER" vbProcedure="false">'Перечень тарифов'!$S$8</definedName>
    <definedName function="false" hidden="false" name="PT_FLAG_TER_COLUMN_MARKER" vbProcedure="false">'Перечень тарифов'!$K$8</definedName>
    <definedName function="false" hidden="false" name="PT_FLAG_VTAR_COLUMN_MARKER" vbProcedure="false">'Перечень тарифов'!$F$8</definedName>
    <definedName function="false" hidden="false" name="PT_GROUP_CONSUMER_LIST" vbProcedure="false">TEHSHEET!$AZ$29:$AZ$33</definedName>
    <definedName function="false" hidden="false" name="PT_HEAT_PRICE_INDICATORS_LEVEL" vbProcedure="false">'Перечень тарифов'!$F$63</definedName>
    <definedName function="false" hidden="false" name="pt_ist_te_1" vbProcedure="false">'ТС. Т-ТЭ | &gt;=25МВт'!$46:$53</definedName>
    <definedName function="false" hidden="false" name="pt_ist_te_2" vbProcedure="false">'ТС. Т-ТЭ | ТСО'!$46:$53</definedName>
    <definedName function="false" hidden="false" name="pt_ist_te_20" vbProcedure="false">'ТС. Т-подкл(инд)'!$45:$51</definedName>
    <definedName function="false" hidden="false" name="pt_ist_te_21" vbProcedure="false">'ТС. Т-ТЭ | предел'!$46:$53</definedName>
    <definedName function="false" hidden="false" name="pt_ist_te_21_1" vbProcedure="false">'ТС. Т-ТЭ | индикат'!$46:$53</definedName>
    <definedName function="false" hidden="false" name="pt_ist_te_3" vbProcedure="false">'ТС. Т-ТН'!$46:$53</definedName>
    <definedName function="false" hidden="false" name="pt_ist_te_4" vbProcedure="false">'ТС. Т-гор.вода'!$52:$61</definedName>
    <definedName function="false" hidden="false" name="pt_ist_te_5" vbProcedure="false">'ТС. Т-передача ТЭ'!$46:$53</definedName>
    <definedName function="false" hidden="false" name="pt_ist_te_6" vbProcedure="false">'ТС. Т-передача ТН'!$46:$53</definedName>
    <definedName function="false" hidden="false" name="pt_ist_te_7" vbProcedure="false">'ТС. Резерв мощности'!$46:$53</definedName>
    <definedName function="false" hidden="false" name="pt_ist_te_8" vbProcedure="false">'ТС. Т-подкл'!$48:$57</definedName>
    <definedName function="false" hidden="false" name="PT_LOAD_LIST" vbProcedure="false">TEHSHEET!$AZ$67:$AZ$72</definedName>
    <definedName function="false" hidden="false" name="PT_NETS_LIST" vbProcedure="false">TEHSHEET!$AZ$55:$AZ$57</definedName>
    <definedName function="false" hidden="false" name="pt_ntar_1" vbProcedure="false">'ТС. Т-ТЭ | &gt;=25МВт'!$43:$56</definedName>
    <definedName function="false" hidden="false" name="pt_ntar_10" vbProcedure="false">'ХВС. Т-тех'!$41:$52</definedName>
    <definedName function="false" hidden="false" name="pt_ntar_11" vbProcedure="false">'ХВС. Т-транс'!$41:$52</definedName>
    <definedName function="false" hidden="false" name="pt_ntar_12" vbProcedure="false">'ХВС. Т-подвоз'!$41:$52</definedName>
    <definedName function="false" hidden="false" name="pt_ntar_13" vbProcedure="false">'ХВС. Т-подкл'!$46:$62</definedName>
    <definedName function="false" hidden="false" name="pt_ntar_14" vbProcedure="false">'ГВС. Т-гор.вода'!$42:$53</definedName>
    <definedName function="false" hidden="false" name="pt_ntar_15" vbProcedure="false">'ГВС. Т-транс'!$42:$53</definedName>
    <definedName function="false" hidden="false" name="pt_ntar_16" vbProcedure="false">'ГВС. Т-подкл'!$46:$62</definedName>
    <definedName function="false" hidden="false" name="pt_ntar_17" vbProcedure="false">'ВО. Т-во'!$41:$52</definedName>
    <definedName function="false" hidden="false" name="pt_ntar_18" vbProcedure="false">'ВО. Т-транс'!$41:$52</definedName>
    <definedName function="false" hidden="false" name="pt_ntar_19" vbProcedure="false">'ВО. Т-подкл'!$46:$62</definedName>
    <definedName function="false" hidden="false" name="pt_ntar_2" vbProcedure="false">'ТС. Т-ТЭ | ТСО'!$43:$56</definedName>
    <definedName function="false" hidden="false" name="pt_ntar_20" vbProcedure="false">'ТС. Т-подкл(инд)'!$42:$55</definedName>
    <definedName function="false" hidden="false" name="pt_ntar_21" vbProcedure="false">'ТС. Т-ТЭ | предел'!$43:$56</definedName>
    <definedName function="false" hidden="false" name="pt_ntar_21_1" vbProcedure="false">'ТС. Т-ТЭ | индикат'!$43:$56</definedName>
    <definedName function="false" hidden="false" name="pt_ntar_3" vbProcedure="false">'ТС. Т-ТН'!$43:$56</definedName>
    <definedName function="false" hidden="false" name="pt_ntar_4" vbProcedure="false">'ТС. Т-гор.вода'!$49:$64</definedName>
    <definedName function="false" hidden="false" name="pt_ntar_5" vbProcedure="false">'ТС. Т-передача ТЭ'!$43:$56</definedName>
    <definedName function="false" hidden="false" name="pt_ntar_6" vbProcedure="false">'ТС. Т-передача ТН'!$43:$56</definedName>
    <definedName function="false" hidden="false" name="pt_ntar_7" vbProcedure="false">'ТС. Резерв мощности'!$43:$56</definedName>
    <definedName function="false" hidden="false" name="pt_ntar_8" vbProcedure="false">'ТС. Т-подкл'!$45:$61</definedName>
    <definedName function="false" hidden="false" name="pt_ntar_9" vbProcedure="false">'ХВС. Т-пит'!$41:$52</definedName>
    <definedName function="false" hidden="false" name="PT_P_FORM_COLDVSNA_4_NAME_FORM" vbProcedure="false">DATA_FORMS!$C$17</definedName>
    <definedName function="false" hidden="false" name="PT_P_FORM_COLDVSNA_5_NAME_FORM" vbProcedure="false">DATA_FORMS!$C$18</definedName>
    <definedName function="false" hidden="false" name="PT_P_FORM_HEAT_21_NAME_FORM" vbProcedure="false">DATA_FORMS!$C$13</definedName>
    <definedName function="false" hidden="false" name="PT_P_FORM_HEAT_22_NAME_FORM" vbProcedure="false">DATA_FORMS!$C$14</definedName>
    <definedName function="false" hidden="false" name="PT_P_FORM_HEAT_4_NAME_FORM" vbProcedure="false">DATA_FORMS!$C$9</definedName>
    <definedName function="false" hidden="false" name="PT_P_FORM_HEAT_5_NAME_FORM" vbProcedure="false">DATA_FORMS!$C$10</definedName>
    <definedName function="false" hidden="false" name="PT_P_FORM_HEAT_6_NAME_FORM" vbProcedure="false">DATA_FORMS!$C$11</definedName>
    <definedName function="false" hidden="false" name="PT_P_FORM_HEAT_7_NAME_FORM" vbProcedure="false">DATA_FORMS!$C$12</definedName>
    <definedName function="false" hidden="false" name="PT_P_FORM_HOTVSNA_4_NAME_FORM" vbProcedure="false">DATA_FORMS!$C$21</definedName>
    <definedName function="false" hidden="false" name="PT_P_FORM_HOTVSNA_5_NAME_FORM" vbProcedure="false">DATA_FORMS!$C$22</definedName>
    <definedName function="false" hidden="false" name="PT_P_FORM_VOTV_4_NAME_FORM" vbProcedure="false">DATA_FORMS!$C$25</definedName>
    <definedName function="false" hidden="false" name="PT_P_FORM_VOTV_5_NAME_FORM" vbProcedure="false">DATA_FORMS!$C$26</definedName>
    <definedName function="false" hidden="false" name="PT_R_FORM_COLDVSNA_16_NAME_FORM" vbProcedure="false">DATA_FORMS!$C$19</definedName>
    <definedName function="false" hidden="false" name="PT_R_FORM_COLDVSNA_17_NAME_FORM" vbProcedure="false">DATA_FORMS!$C$20</definedName>
    <definedName function="false" hidden="false" name="PT_R_FORM_HEAT_21_NAME_FORM" vbProcedure="false">DATA_FORMS!$C$13</definedName>
    <definedName function="false" hidden="false" name="PT_R_FORM_HEAT_22_NAME_FORM" vbProcedure="false">DATA_FORMS!$C$14</definedName>
    <definedName function="false" hidden="false" name="PT_R_FORM_HEAT_23_NAME_FORM" vbProcedure="false">DATA_FORMS!$C$15</definedName>
    <definedName function="false" hidden="false" name="PT_R_FORM_HEAT_24_NAME_FORM" vbProcedure="false">DATA_FORMS!$C$16</definedName>
    <definedName function="false" hidden="false" name="PT_R_FORM_HOTVSNA_16_NAME_FORM" vbProcedure="false">DATA_FORMS!$C$23</definedName>
    <definedName function="false" hidden="false" name="PT_R_FORM_HOTVSNA_17_NAME_FORM" vbProcedure="false">DATA_FORMS!$C$24</definedName>
    <definedName function="false" hidden="false" name="PT_R_FORM_VOTV_16_NAME_FORM" vbProcedure="false">DATA_FORMS!$C$27</definedName>
    <definedName function="false" hidden="false" name="PT_R_FORM_VOTV_17_NAME_FORM" vbProcedure="false">DATA_FORMS!$C$28</definedName>
    <definedName function="false" hidden="false" name="PT_SCHEME_LIST" vbProcedure="false">TEHSHEET!$AZ$36:$AZ$39</definedName>
    <definedName function="false" hidden="false" name="pt_ter_1" vbProcedure="false">'ТС. Т-ТЭ | &gt;=25МВт'!$44:$55</definedName>
    <definedName function="false" hidden="false" name="pt_ter_10" vbProcedure="false">'ХВС. Т-тех'!$42:$51</definedName>
    <definedName function="false" hidden="false" name="pt_ter_11" vbProcedure="false">'ХВС. Т-транс'!$42:$51</definedName>
    <definedName function="false" hidden="false" name="pt_ter_12" vbProcedure="false">'ХВС. Т-подвоз'!$42:$51</definedName>
    <definedName function="false" hidden="false" name="pt_ter_13" vbProcedure="false">'ХВС. Т-подкл'!$47:$61</definedName>
    <definedName function="false" hidden="false" name="pt_ter_14" vbProcedure="false">'ГВС. Т-гор.вода'!$43:$52</definedName>
    <definedName function="false" hidden="false" name="pt_ter_15" vbProcedure="false">'ГВС. Т-транс'!$43:$52</definedName>
    <definedName function="false" hidden="false" name="pt_ter_16" vbProcedure="false">'ГВС. Т-подкл'!$47:$61</definedName>
    <definedName function="false" hidden="false" name="pt_ter_17" vbProcedure="false">'ВО. Т-во'!$42:$51</definedName>
    <definedName function="false" hidden="false" name="pt_ter_18" vbProcedure="false">'ВО. Т-транс'!$42:$51</definedName>
    <definedName function="false" hidden="false" name="pt_ter_19" vbProcedure="false">'ВО. Т-подкл'!$47:$61</definedName>
    <definedName function="false" hidden="false" name="pt_ter_2" vbProcedure="false">'ТС. Т-ТЭ | ТСО'!$44:$55</definedName>
    <definedName function="false" hidden="false" name="pt_ter_20" vbProcedure="false">'ТС. Т-подкл(инд)'!$43:$53</definedName>
    <definedName function="false" hidden="false" name="pt_ter_21" vbProcedure="false">'ТС. Т-ТЭ | предел'!$44:$55</definedName>
    <definedName function="false" hidden="false" name="pt_ter_21_1" vbProcedure="false">'ТС. Т-ТЭ | индикат'!$44:$55</definedName>
    <definedName function="false" hidden="false" name="pt_ter_3" vbProcedure="false">'ТС. Т-ТН'!$44:$55</definedName>
    <definedName function="false" hidden="false" name="pt_ter_4" vbProcedure="false">'ТС. Т-гор.вода'!$50:$63</definedName>
    <definedName function="false" hidden="false" name="pt_ter_5" vbProcedure="false">'ТС. Т-передача ТЭ'!$44:$55</definedName>
    <definedName function="false" hidden="false" name="pt_ter_6" vbProcedure="false">'ТС. Т-передача ТН'!$44:$55</definedName>
    <definedName function="false" hidden="false" name="pt_ter_7" vbProcedure="false">'ТС. Резерв мощности'!$44:$55</definedName>
    <definedName function="false" hidden="false" name="pt_ter_8" vbProcedure="false">'ТС. Т-подкл'!$46:$59</definedName>
    <definedName function="false" hidden="false" name="pt_ter_9" vbProcedure="false">'ХВС. Т-пит'!$42:$51</definedName>
    <definedName function="false" hidden="false" name="PT_TN_LIST" vbProcedure="false">TEHSHEET!$AZ$42:$AZ$52</definedName>
    <definedName function="false" hidden="false" name="PT_VDET_COLUMN_MARKER" vbProcedure="false">'Перечень тарифов'!$G$8</definedName>
    <definedName function="false" hidden="false" name="PURCH_NAME_FORM" vbProcedure="false">DATA_FORMS!$C$29</definedName>
    <definedName function="false" hidden="false" name="P_T_TERMS_LINK" vbProcedure="false">Договоры!$F$12:$F$22</definedName>
    <definedName function="false" hidden="false" name="QRE_METHOD_LIST" vbProcedure="false">TEHSHEET!$AZ$8:$AZ$10</definedName>
    <definedName function="false" hidden="false" name="QUARTER" vbProcedure="false">TEHSHEET!$F$2:$F$5</definedName>
    <definedName function="false" hidden="false" name="Q_LIMIT_CheckC" vbProcedure="false">Ограничения!$E$32:$K$39</definedName>
    <definedName function="false" hidden="false" name="Q_LIMIT_diff_1" vbProcedure="false">Ограничения!$I$26:$J$28</definedName>
    <definedName function="false" hidden="false" name="Q_LIMIT_p3" vbProcedure="false">Ограничения!$F$36:$K$37</definedName>
    <definedName function="false" hidden="false" name="Q_LIMIT_p4" vbProcedure="false">Ограничения!$F$38:$K$39</definedName>
    <definedName function="false" hidden="false" name="Q_PH_diff_1" vbProcedure="false">'Потребительские характеристики'!$I$9:$J$11</definedName>
    <definedName function="false" hidden="false" name="Q_TP_COUNT_REFUSAL" vbProcedure="false">ТП!$H$17:$H$17</definedName>
    <definedName function="false" hidden="false" name="Q_TP_diff_1" vbProcedure="false">ТП!$H$9:$H$11</definedName>
    <definedName function="false" hidden="false" name="REESTR_LINK_RANGE" vbProcedure="false">REESTR_LINK!$A$2:$C$3</definedName>
    <definedName function="false" hidden="false" name="REESTR_VT_RANGE" vbProcedure="false">REESTR_VT!$A$2:$B$11</definedName>
    <definedName function="false" hidden="false" name="REGION" vbProcedure="false">TEHSHEET!$A$2:$A$91</definedName>
    <definedName function="false" hidden="false" name="region_name" vbProcedure="false">Титульный!$F$7</definedName>
    <definedName function="false" hidden="false" name="RegulatoryPeriod" vbProcedure="false">Титульный!$F$11:$F$12</definedName>
    <definedName function="false" hidden="false" name="ReportPeriod" vbProcedure="false">Титульный!$F$11:$F$15</definedName>
    <definedName function="false" hidden="false" name="ROIV_CASE_ADD_HL_CASE_COLUMN_MARKER" vbProcedure="false">'Дела об установлении тарифов'!$F$1</definedName>
    <definedName function="false" hidden="false" name="ROIV_CASE_DATE" vbProcedure="false">'Дела об установлении тарифов'!$G$10:$G$11</definedName>
    <definedName function="false" hidden="false" name="ROIV_CASE_DEL_HL_CASE_COLUMN_MARKER" vbProcedure="false">'Дела об установлении тарифов'!$D$1</definedName>
    <definedName function="false" hidden="false" name="ROIV_CASE_NUM_CASE_COLUMN_MARKER" vbProcedure="false">'Дела об установлении тарифов'!$E$1</definedName>
    <definedName function="false" hidden="false" name="ROIV_CASE_PROTOKOL" vbProcedure="false">'Дела об установлении тарифов'!$K$10:$K$11</definedName>
    <definedName function="false" hidden="false" name="ROIV_CASE_PROTOKOL_ET" vbProcedure="false">'Дела об установлении тарифов'!$K$2</definedName>
    <definedName function="false" hidden="false" name="ROIV_CASE_PUC_ADD_HL_CASE_COLUMN_MARKER" vbProcedure="false">'Дела об утверждении ПУЦ'!$F$1</definedName>
    <definedName function="false" hidden="false" name="ROIV_CASE_PUC_DATE" vbProcedure="false">'Дела об утверждении ПУЦ'!$G$10:$G$11</definedName>
    <definedName function="false" hidden="false" name="ROIV_CASE_PUC_DEL_HL_CASE_COLUMN_MARKER" vbProcedure="false">'Дела об утверждении ПУЦ'!$D$1</definedName>
    <definedName function="false" hidden="false" name="ROIV_CASE_PUC_NUM_CASE_COLUMN_MARKER" vbProcedure="false">'Дела об утверждении ПУЦ'!$E$1</definedName>
    <definedName function="false" hidden="false" name="ROIV_CASE_PUC_PROTOKOL" vbProcedure="false">'Дела об утверждении ПУЦ'!$K$10:$K$11</definedName>
    <definedName function="false" hidden="false" name="ROIV_CASE_PUC_PROTOKOL_ET" vbProcedure="false">'Дела об утверждении ПУЦ'!$K$2</definedName>
    <definedName function="false" hidden="false" name="ROIV_CASE_PUC_RESH" vbProcedure="false">'Дела об утверждении ПУЦ'!$J$10:$J$11</definedName>
    <definedName function="false" hidden="false" name="ROIV_CASE_PUC_RESH_ET" vbProcedure="false">'Дела об утверждении ПУЦ'!$J$2</definedName>
    <definedName function="false" hidden="false" name="ROIV_CASE_RESH" vbProcedure="false">'Дела об установлении тарифов'!$J$10:$J$11</definedName>
    <definedName function="false" hidden="false" name="ROIV_CASE_RESH_ET" vbProcedure="false">'Дела об установлении тарифов'!$J$2</definedName>
    <definedName function="false" hidden="false" name="ROIV_INFO_COMMENT" vbProcedure="false">TEHSHEET!$BA$97:$BA$103</definedName>
    <definedName function="false" hidden="false" name="ROIV_INFO_COMMENT_HEAT" vbProcedure="false">TEHSHEET!$BA$97:$BA$103</definedName>
    <definedName function="false" hidden="false" name="ROIV_INFO_COMMENT_NO_HEAT" vbProcedure="false">TEHSHEET!$BA$111:$BA$116</definedName>
    <definedName function="false" hidden="false" name="ROIV_INFO_DEL_HL_PHONE_COLUMN_MARKER" vbProcedure="false">'Орган регулирования'!$C$1</definedName>
    <definedName function="false" hidden="false" name="ROIV_INFO_DOKLAD" vbProcedure="false">'Орган регулирования'!$F$24</definedName>
    <definedName function="false" hidden="false" name="ROIV_INFO_LIST" vbProcedure="false">TEHSHEET!$AZ$97:$AZ$103</definedName>
    <definedName function="false" hidden="false" name="ROIV_INFO_LIST_HEAT" vbProcedure="false">TEHSHEET!$AZ$97:$AZ$103</definedName>
    <definedName function="false" hidden="false" name="ROIV_INFO_LIST_NO_HEAT" vbProcedure="false">TEHSHEET!$AZ$111:$AZ$116</definedName>
    <definedName function="false" hidden="false" name="ROIV_INFO_NAME" vbProcedure="false">'Орган регулирования'!$F$12</definedName>
    <definedName function="false" hidden="false" name="ROIV_INFO_NUM_PHONE_COLUMN_MARKER" vbProcedure="false">'Орган регулирования'!$D$1</definedName>
    <definedName function="false" hidden="false" name="ROIV_ORG_DEL_HL_ORG_COLUMN_MARKER" vbProcedure="false">'Перечень организаций'!$D$1</definedName>
    <definedName function="false" hidden="false" name="ROIV_ORG_INN_COLUMN_MARKER" vbProcedure="false">'Перечень организаций'!$G$1</definedName>
    <definedName function="false" hidden="false" name="ROIV_ORG_KPP_COLUMN_MARKER" vbProcedure="false">'Перечень организаций'!$H$1</definedName>
    <definedName function="false" hidden="false" name="ROIV_ORG_NAME_ORG_COLUMN_MARKER" vbProcedure="false">'Перечень организаций'!$F$1</definedName>
    <definedName function="false" hidden="false" name="ROIV_ORG_NUM_ORG_COLUMN_MARKER" vbProcedure="false">'Перечень организаций'!$E$1</definedName>
    <definedName function="false" hidden="false" name="ROIV_ORG_TECH_ORG_ID" vbProcedure="false">'Перечень организаций'!$A$9:$A$10</definedName>
    <definedName function="false" hidden="false" name="ROIV_ORG_TECH_ORG_ID_COLUMN_MARKER" vbProcedure="false">'Перечень организаций'!$A$1</definedName>
    <definedName function="false" hidden="false" name="ROIV_OTV_ADD_HL_DL_COLUMN_MARKER" vbProcedure="false">'Привлечение к ответственности'!$K$1</definedName>
    <definedName function="false" hidden="false" name="ROIV_OTV_DEL_HL_DL_COLUMN_MARKER" vbProcedure="false">'Привлечение к ответственности'!$I$1</definedName>
    <definedName function="false" hidden="false" name="ROIV_OTV_DEL_HL_ORG_COLUMN_MARKER" vbProcedure="false">'Привлечение к ответственности'!$D$1</definedName>
    <definedName function="false" hidden="false" name="ROIV_OTV_INN_COLUMN_MARKER" vbProcedure="false">'Привлечение к ответственности'!$H$1</definedName>
    <definedName function="false" hidden="false" name="ROIV_OTV_NAME_ORG_COLUMN_MARKER" vbProcedure="false">'Привлечение к ответственности'!$G$1</definedName>
    <definedName function="false" hidden="false" name="ROIV_OTV_NUM_DL_COLUMN_MARKER" vbProcedure="false">'Привлечение к ответственности'!$J$1</definedName>
    <definedName function="false" hidden="false" name="ROIV_OTV_NUM_ORG_COLUMN_MARKER" vbProcedure="false">'Привлечение к ответственности'!$E$1</definedName>
    <definedName function="false" hidden="false" name="ROIV_OTV_TECH_ORG_ID_COLUMN_MARKER" vbProcedure="false">'Привлечение к ответственности'!$A$1</definedName>
    <definedName function="false" hidden="false" name="RST_ORG_ID" vbProcedure="false">Титульный!$F$72</definedName>
    <definedName function="false" hidden="false" name="R_OFFER_ADD_PERIOD_HL_COLUMN_MARKER" vbProcedure="false">Предложение!$I$12</definedName>
    <definedName function="false" hidden="false" name="R_OFFER_CHANGE_HL_COLUMN_MARKER" vbProcedure="false">Предложение!$K$12</definedName>
    <definedName function="false" hidden="false" name="R_OFFER_DEL_HL_COLUMN_MARKER" vbProcedure="false">Предложение!$H$12</definedName>
    <definedName function="false" hidden="false" name="R_OFFER_FLAG_HL_COLUMN_MARKER" vbProcedure="false">Предложение!$C$12</definedName>
    <definedName function="false" hidden="false" name="SKI_number" vbProcedure="false">TEHSHEET!$I$2:$I$21</definedName>
    <definedName function="false" hidden="false" name="StartDateList" vbProcedure="false">TEHSHEET!$G$46:$G$53</definedName>
    <definedName function="false" hidden="false" name="tblEnd_1_B_FHD" vbProcedure="false">'Показатели ФХД'!$J$131</definedName>
    <definedName function="false" hidden="false" name="tblEnd_1_B_FHD_TKO" vbProcedure="false">'ТКО. Показатели ФХД'!$J$47</definedName>
    <definedName function="false" hidden="false" name="tblEnd_1_B_FHD_TKO_TRANS" vbProcedure="false">'ТКО. Транс. Показатели ФХД'!$J$38</definedName>
    <definedName function="false" hidden="false" name="tblEnd_1_B_KNE" vbProcedure="false">'Показатели КНЭ'!$J$101</definedName>
    <definedName function="false" hidden="false" name="tblEnd_1_B_OTEP" vbProcedure="false">'Показатели ОТЭП'!$N$34</definedName>
    <definedName function="false" hidden="false" name="tblEnd_1_B_STANDARTS" vbProcedure="false">'Стандарты качества'!$L$13</definedName>
    <definedName function="false" hidden="false" name="tblEnd_1_CHANGE_INFO" vbProcedure="false">'Сведения об изменении'!$E$14</definedName>
    <definedName function="false" hidden="false" name="tblEnd_1_DIFFERENTIATION" vbProcedure="false">Дифференциация!$M$17</definedName>
    <definedName function="false" hidden="false" name="tblEnd_1_DIFFERENTIATION_TARIFF" vbProcedure="false">'Перечень тарифов'!$W$136</definedName>
    <definedName function="false" hidden="false" name="tblEnd_1_DIFFERENTIATION_TKO" vbProcedure="false">'Дифференциация тариф показатель'!$AI$41</definedName>
    <definedName function="false" hidden="false" name="tblEnd_1_ED" vbProcedure="false">ЭД!$H$14</definedName>
    <definedName function="false" hidden="false" name="tblEnd_1_IP_DETAILED" vbProcedure="false">'ИП. Детализация'!$AH$14</definedName>
    <definedName function="false" hidden="false" name="tblEnd_1_IP_FIN_PLAN" vbProcedure="false">'ИП. Финансовый план'!$K$58</definedName>
    <definedName function="false" hidden="false" name="tblEnd_1_IP_MAIN" vbProcedure="false">ИП!$AB$14</definedName>
    <definedName function="false" hidden="false" name="tblEnd_1_IP_QRE" vbProcedure="false">'ИП. КНЭ'!$FX$21</definedName>
    <definedName function="false" hidden="false" name="tblEnd_1_OFFER" vbProcedure="false">Предложение!$L$330</definedName>
    <definedName function="false" hidden="false" name="tblEnd_1_ORG_INFO" vbProcedure="false">'Общая информация об организации'!$F$52</definedName>
    <definedName function="false" hidden="false" name="tblEnd_1_ORG_TERRITORY" vbProcedure="false">'Сведения по территориям'!$K$14</definedName>
    <definedName function="false" hidden="false" name="tblEnd_1_ORG_VD" vbProcedure="false">'Общая информация по ВД'!$AI$14</definedName>
    <definedName function="false" hidden="false" name="tblEnd_1_ORG_VD_TKO" vbProcedure="false">'Виды объектов'!$I$17</definedName>
    <definedName function="false" hidden="false" name="tblEnd_1_P_PROCEDURE_TC" vbProcedure="false">'Порядок ТП'!$H$41</definedName>
    <definedName function="false" hidden="false" name="tblEnd_1_P_T_TERMS" vbProcedure="false">Договоры!$F$28</definedName>
    <definedName function="false" hidden="false" name="tblEnd_1_Q_LIMIT" vbProcedure="false">Ограничения!$K$40</definedName>
    <definedName function="false" hidden="false" name="tblEnd_1_Q_PH" vbProcedure="false">'Потребительские характеристики'!$K$21</definedName>
    <definedName function="false" hidden="false" name="tblEnd_1_Q_TP" vbProcedure="false">ТП!$I$23</definedName>
    <definedName function="false" hidden="false" name="tblEnd_1_ROIV_CASE" vbProcedure="false">'Дела об установлении тарифов'!$K$12</definedName>
    <definedName function="false" hidden="false" name="tblEnd_1_ROIV_CASE_PUC" vbProcedure="false">'Дела об утверждении ПУЦ'!$K$12</definedName>
    <definedName function="false" hidden="false" name="tblEnd_1_ROIV_INFO" vbProcedure="false">'Орган регулирования'!$F$25</definedName>
    <definedName function="false" hidden="false" name="tblEnd_1_ROIV_ORG" vbProcedure="false">'Перечень организаций'!$I$11</definedName>
    <definedName function="false" hidden="false" name="tblEnd_1_ROIV_OTV" vbProcedure="false">'Привлечение к ответственности'!$M$16</definedName>
    <definedName function="false" hidden="false" name="tblEnd_1_R_B_Purch" vbProcedure="false">'Сведения о закупках'!$G$15</definedName>
    <definedName function="false" hidden="false" name="tblEnd_1_R_Offer" vbProcedure="false">Предложение!$L$330</definedName>
    <definedName function="false" hidden="false" name="tblEnd_1_TARIFF_A" vbProcedure="false">'ТС. Т-ТЭ | &gt;=25МВт'!$AL$58</definedName>
    <definedName function="false" hidden="false" name="tblEnd_1_TARIFF_A_COLDVSNA" vbProcedure="false">'ХВС. Т-пит'!$AJ$54</definedName>
    <definedName function="false" hidden="false" name="tblEnd_1_TARIFF_A_HOTVSNA" vbProcedure="false">'ГВС. Т-гор.вода'!$AR$55</definedName>
    <definedName function="false" hidden="false" name="tblEnd_1_TARIFF_A_VOTV" vbProcedure="false">'ВО. Т-во'!$AJ$54</definedName>
    <definedName function="false" hidden="false" name="tblEnd_1_TARIFF_B" vbProcedure="false">'ТС. Т-ТЭ | ТСО'!$AL$58</definedName>
    <definedName function="false" hidden="false" name="tblEnd_1_TARIFF_B_COLDVSNA" vbProcedure="false">'ХВС. Т-тех'!$AJ$54</definedName>
    <definedName function="false" hidden="false" name="tblEnd_1_TARIFF_B_HOTVSNA" vbProcedure="false">'ГВС. Т-транс'!$AR$55</definedName>
    <definedName function="false" hidden="false" name="tblEnd_1_TARIFF_B_VOTV" vbProcedure="false">'ВО. Т-транс'!$AJ$54</definedName>
    <definedName function="false" hidden="false" name="tblEnd_1_TARIFF_C" vbProcedure="false">'ТС. Т-ТН'!$AL$58</definedName>
    <definedName function="false" hidden="false" name="tblEnd_1_TARIFF_C_COLDVSNA" vbProcedure="false">'ХВС. Т-транс'!$AJ$54</definedName>
    <definedName function="false" hidden="false" name="tblEnd_1_TARIFF_C_HOTVSNA" vbProcedure="false">'ГВС. Т-подкл'!$BB$64</definedName>
    <definedName function="false" hidden="false" name="tblEnd_1_TARIFF_C_VOTV" vbProcedure="false">'ВО. Т-подкл'!$BB$64</definedName>
    <definedName function="false" hidden="false" name="tblEnd_1_TARIFF_D" vbProcedure="false">'ТС. Т-гор.вода'!$AP$66</definedName>
    <definedName function="false" hidden="false" name="tblEnd_1_TARIFF_D_COLDVSNA" vbProcedure="false">'ХВС. Т-подвоз'!$AJ$54</definedName>
    <definedName function="false" hidden="false" name="tblEnd_1_TARIFF_E1" vbProcedure="false">'ТС. Т-передача ТЭ'!$AL$58</definedName>
    <definedName function="false" hidden="false" name="tblEnd_1_TARIFF_E2" vbProcedure="false">'ТС. Т-передача ТН'!$AL$58</definedName>
    <definedName function="false" hidden="false" name="tblEnd_1_TARIFF_E_COLDVSNA" vbProcedure="false">'ХВС. Т-подкл'!$BB$64</definedName>
    <definedName function="false" hidden="false" name="tblEnd_1_TARIFF_F" vbProcedure="false">'ТС. Резерв мощности'!$AL$58</definedName>
    <definedName function="false" hidden="false" name="tblEnd_1_TARIFF_G" vbProcedure="false">'ТС. Т-подкл'!$AT$63</definedName>
    <definedName function="false" hidden="false" name="tblEnd_1_TARIFF_H" vbProcedure="false">'ТС. Т-подкл(инд)'!$AJ$57</definedName>
    <definedName function="false" hidden="false" name="tblEnd_1_TARIFF_I" vbProcedure="false">'ТС. Т-ТЭ | предел'!$AL$54</definedName>
    <definedName function="false" hidden="false" name="tblEnd_1_TARIFF_I_1" vbProcedure="false">'ТС. Т-ТЭ | индикат'!$AL$58</definedName>
    <definedName function="false" hidden="false" name="tblEnd_1_TERRITORY" vbProcedure="false">'Список территорий'!$I$16</definedName>
    <definedName function="false" hidden="false" name="tblStart_1_B_FHD" vbProcedure="false">'Показатели ФХД'!$I$30</definedName>
    <definedName function="false" hidden="false" name="tblStart_1_B_FHD_TKO" vbProcedure="false">'ТКО. Показатели ФХД'!$I$15</definedName>
    <definedName function="false" hidden="false" name="tblStart_1_B_FHD_TKO_TRANS" vbProcedure="false">'ТКО. Транс. Показатели ФХД'!$I$15</definedName>
    <definedName function="false" hidden="false" name="tblStart_1_B_KNE" vbProcedure="false">'Показатели КНЭ'!$I$12</definedName>
    <definedName function="false" hidden="false" name="tblStart_1_B_OTEP" vbProcedure="false">'Показатели ОТЭП'!$M$15</definedName>
    <definedName function="false" hidden="false" name="tblStart_1_B_STANDARTS" vbProcedure="false">'Стандарты качества'!$L$10</definedName>
    <definedName function="false" hidden="false" name="tblStart_1_CHANGE_INFO" vbProcedure="false">'Сведения об изменении'!$E$12</definedName>
    <definedName function="false" hidden="false" name="tblStart_1_DIFFERENTIATION" vbProcedure="false">Дифференциация!$E$13</definedName>
    <definedName function="false" hidden="false" name="tblStart_1_DIFFERENTIATION_TARIFF" vbProcedure="false">'Перечень тарифов'!$G$13</definedName>
    <definedName function="false" hidden="false" name="tblStart_1_DIFFERENTIATION_TKO" vbProcedure="false">'Дифференциация тариф показатель'!$K$11</definedName>
    <definedName function="false" hidden="false" name="tblStart_1_ED" vbProcedure="false">ЭД!$E$12</definedName>
    <definedName function="false" hidden="false" name="tblStart_1_IP_DETAILED" vbProcedure="false">'ИП. Детализация'!$I$13</definedName>
    <definedName function="false" hidden="false" name="tblStart_1_IP_FIN_PLAN" vbProcedure="false">'ИП. Финансовый план'!$J$14</definedName>
    <definedName function="false" hidden="false" name="tblStart_1_IP_MAIN" vbProcedure="false">ИП!$H$11</definedName>
    <definedName function="false" hidden="false" name="tblStart_1_IP_QRE" vbProcedure="false">'ИП. КНЭ'!$O$18</definedName>
    <definedName function="false" hidden="false" name="tblStart_1_OFFER" vbProcedure="false">Предложение!$H$22</definedName>
    <definedName function="false" hidden="false" name="tblStart_1_ORG_INFO" vbProcedure="false">'Общая информация об организации'!$F$13</definedName>
    <definedName function="false" hidden="false" name="tblStart_1_ORG_TERRITORY" vbProcedure="false">'Сведения по территориям'!$G$12</definedName>
    <definedName function="false" hidden="false" name="tblStart_1_ORG_VD" vbProcedure="false">'Общая информация по ВД'!$F$12</definedName>
    <definedName function="false" hidden="false" name="tblStart_1_ORG_VD_TKO" vbProcedure="false">'Виды объектов'!$E$14</definedName>
    <definedName function="false" hidden="false" name="tblStart_1_P_PROCEDURE_TC" vbProcedure="false">'Порядок ТП'!$G$22</definedName>
    <definedName function="false" hidden="false" name="tblStart_1_P_T_TERMS" vbProcedure="false">Договоры!$F$14</definedName>
    <definedName function="false" hidden="false" name="tblStart_1_Q_LIMIT" vbProcedure="false">Ограничения!$I$32</definedName>
    <definedName function="false" hidden="false" name="tblStart_1_Q_PH" vbProcedure="false">'Потребительские характеристики'!$I$19</definedName>
    <definedName function="false" hidden="false" name="tblStart_1_Q_TP" vbProcedure="false">ТП!$H$15</definedName>
    <definedName function="false" hidden="false" name="tblStart_1_ROIV_CASE" vbProcedure="false">'Дела об установлении тарифов'!$G$10</definedName>
    <definedName function="false" hidden="false" name="tblStart_1_ROIV_CASE_PUC" vbProcedure="false">'Дела об утверждении ПУЦ'!$G$10</definedName>
    <definedName function="false" hidden="false" name="tblStart_1_ROIV_INFO" vbProcedure="false">'Орган регулирования'!$F$12</definedName>
    <definedName function="false" hidden="false" name="tblStart_1_ROIV_ORG" vbProcedure="false">'Перечень организаций'!$F$9</definedName>
    <definedName function="false" hidden="false" name="tblStart_1_ROIV_OTV" vbProcedure="false">'Привлечение к ответственности'!$K$13</definedName>
    <definedName function="false" hidden="false" name="tblStart_1_R_B_Purch" vbProcedure="false">'Сведения о закупках'!$F$10</definedName>
    <definedName function="false" hidden="false" name="tblStart_1_R_Offer" vbProcedure="false">Предложение!$H$22</definedName>
    <definedName function="false" hidden="false" name="tblStart_1_TARIFF_A" vbProcedure="false">'ТС. Т-ТЭ | &gt;=25МВт'!$AD$43</definedName>
    <definedName function="false" hidden="false" name="tblStart_1_TARIFF_A_COLDVSNA" vbProcedure="false">'ХВС. Т-пит'!$AC$41</definedName>
    <definedName function="false" hidden="false" name="tblStart_1_TARIFF_A_HOTVSNA" vbProcedure="false">'ГВС. Т-гор.вода'!$AG$42</definedName>
    <definedName function="false" hidden="false" name="tblStart_1_TARIFF_A_VOTV" vbProcedure="false">'ВО. Т-во'!$AC$41</definedName>
    <definedName function="false" hidden="false" name="tblStart_1_TARIFF_B" vbProcedure="false">'ТС. Т-ТЭ | ТСО'!$AD$43</definedName>
    <definedName function="false" hidden="false" name="tblStart_1_TARIFF_B_COLDVSNA" vbProcedure="false">'ХВС. Т-тех'!$AC$41</definedName>
    <definedName function="false" hidden="false" name="tblStart_1_TARIFF_B_HOTVSNA" vbProcedure="false">'ГВС. Т-транс'!$AG$42</definedName>
    <definedName function="false" hidden="false" name="tblStart_1_TARIFF_B_VOTV" vbProcedure="false">'ВО. Т-транс'!$AC$41</definedName>
    <definedName function="false" hidden="false" name="tblStart_1_TARIFF_C" vbProcedure="false">'ТС. Т-ТН'!$AD$43</definedName>
    <definedName function="false" hidden="false" name="tblStart_1_TARIFF_C_COLDVSNA" vbProcedure="false">'ХВС. Т-транс'!$AC$41</definedName>
    <definedName function="false" hidden="false" name="tblStart_1_TARIFF_C_HOTVSNA" vbProcedure="false">'ГВС. Т-подкл'!$AD$46</definedName>
    <definedName function="false" hidden="false" name="tblStart_1_TARIFF_C_VOTV" vbProcedure="false">'ВО. Т-подкл'!$AD$46</definedName>
    <definedName function="false" hidden="false" name="tblStart_1_TARIFF_D" vbProcedure="false">'ТС. Т-гор.вода'!$AG$49</definedName>
    <definedName function="false" hidden="false" name="tblStart_1_TARIFF_D_COLDVSNA" vbProcedure="false">'ХВС. Т-подвоз'!$AC$41</definedName>
    <definedName function="false" hidden="false" name="tblStart_1_TARIFF_E1" vbProcedure="false">'ТС. Т-передача ТЭ'!$AD$43</definedName>
    <definedName function="false" hidden="false" name="tblStart_1_TARIFF_E2" vbProcedure="false">'ТС. Т-передача ТН'!$AD$43</definedName>
    <definedName function="false" hidden="false" name="tblStart_1_TARIFF_E_COLDVSNA" vbProcedure="false">'ХВС. Т-подкл'!$AD$46</definedName>
    <definedName function="false" hidden="false" name="tblStart_1_TARIFF_F" vbProcedure="false">'ТС. Резерв мощности'!$AD$43</definedName>
    <definedName function="false" hidden="false" name="tblStart_1_TARIFF_G" vbProcedure="false">'ТС. Т-подкл'!$AB$45</definedName>
    <definedName function="false" hidden="false" name="tblStart_1_TARIFF_H" vbProcedure="false">'ТС. Т-подкл(инд)'!$AB$42</definedName>
    <definedName function="false" hidden="false" name="tblStart_1_TARIFF_I" vbProcedure="false">'ТС. Т-ТЭ | предел'!$AD$43</definedName>
    <definedName function="false" hidden="false" name="tblStart_1_TARIFF_I_1" vbProcedure="false">'ТС. Т-ТЭ | индикат'!$AD$43</definedName>
    <definedName function="false" hidden="false" name="tblStart_1_TERRITORY" vbProcedure="false">'Список территорий'!$G$12</definedName>
    <definedName function="false" hidden="false" name="TECH_ORG_ID" vbProcedure="false">Титульный!$F$1</definedName>
    <definedName function="false" hidden="false" name="TemplateState" vbProcedure="false">TEHSHEET!$E$16</definedName>
    <definedName function="false" hidden="false" name="TEMPLATE_DATA_POINT" vbProcedure="false">DATA_NPA!$T$11:$X$16</definedName>
    <definedName function="false" hidden="false" name="TEMPLATE_DATA_POINT_FHD" vbProcedure="false">DATA_NPA!$T$18:$W$146</definedName>
    <definedName function="false" hidden="false" name="TEMPLATE_GROUP" vbProcedure="false">TEHSHEET!$E$45</definedName>
    <definedName function="false" hidden="false" name="TEMPLATE_NAME_FORM_LIST" vbProcedure="false">DATA_FORMS!$D$3:$H$35</definedName>
    <definedName function="false" hidden="false" name="TEMPLATE_NOTE_POINT" vbProcedure="false">DATA_NPA!$Z$11:$AD$15</definedName>
    <definedName function="false" hidden="false" name="TEMPLATE_NOTE_POINT_FHD" vbProcedure="false">DATA_NPA!$Z$18:$AD$146</definedName>
    <definedName function="false" hidden="false" name="TEMPLATE_NUMBER_FORM_LIST" vbProcedure="false">DATA_FORMS!$D$2:$H$2</definedName>
    <definedName function="false" hidden="false" name="TEMPLATE_NUMBER_POINT_FHD" vbProcedure="false">DATA_NPA!$O$18:$S$146</definedName>
    <definedName function="false" hidden="false" name="TEMPLATE_ORG_DATA_POINT" vbProcedure="false">DATA_NPA!$Z$3:$AD$9</definedName>
    <definedName function="false" hidden="false" name="TEMPLATE_SPHERE" vbProcedure="false">TEHSHEET!$E$36</definedName>
    <definedName function="false" hidden="false" name="TEMPLATE_SPHERE_LIST" vbProcedure="false">DATA_FORMS!$D$1:$H$1</definedName>
    <definedName function="false" hidden="false" name="TEMPLATE_SPHERE_LIST_FOR_NOTE" vbProcedure="false">DATA_NPA!$Z$2:$AD$2</definedName>
    <definedName function="false" hidden="false" name="TEMPLATE_SPHERE_LIST_FOR_NPA" vbProcedure="false">DATA_NPA!$T$2:$X$2</definedName>
    <definedName function="false" hidden="false" name="TEMPLATE_SPHERE_RUS" vbProcedure="false">TEHSHEET!$F$36</definedName>
    <definedName function="false" hidden="false" name="TEMPLATE_SPHERE_RUS_2" vbProcedure="false">TEHSHEET!$G$36</definedName>
    <definedName function="false" hidden="false" name="TERMS_LINK" vbProcedure="false">Договоры!$F$12:$F$22</definedName>
    <definedName function="false" hidden="false" name="TERMS_NAME_FORM" vbProcedure="false">DATA_FORMS!$C$5</definedName>
    <definedName function="false" hidden="false" name="TERMS_NUM_CONTRACT_COLUMN_MARKER" vbProcedure="false">Договоры!$D$8</definedName>
    <definedName function="false" hidden="false" name="TERMS_P_1" vbProcedure="false">DATA_NPA!$M$148</definedName>
    <definedName function="false" hidden="false" name="TERMS_TKO_TRANS_DATA" vbProcedure="false">Договоры!$E$25:$F$26</definedName>
    <definedName function="false" hidden="false" name="TERRITORY_CheckC" vbProcedure="false">'Список территорий'!$E$11:$I$15</definedName>
    <definedName function="false" hidden="false" name="TERRITORY_ID" vbProcedure="false">TEHSHEET!$E$56</definedName>
    <definedName function="false" hidden="false" name="TERRITORY_LIST_ID" vbProcedure="false">'Список территорий'!$F$11:$F$15</definedName>
    <definedName function="false" hidden="false" name="TERRITORY_MO_LIST" vbProcedure="false">'Список территорий'!$H$11:$H$15</definedName>
    <definedName function="false" hidden="false" name="TERRITORY_MR_LIST" vbProcedure="false">'Список территорий'!$G$11:$G$15</definedName>
    <definedName function="false" hidden="false" name="TERRITORY_NAME_COL" vbProcedure="false">'Список территорий'!$G$1:$I$1</definedName>
    <definedName function="false" hidden="false" name="TERRITORY_POINT_NUMBER_1" vbProcedure="false">'Список территорий'!$A:$A</definedName>
    <definedName function="false" hidden="false" name="ter_1" vbProcedure="false">'Список территорий'!$G$13:$I$13</definedName>
    <definedName function="false" hidden="false" name="TER_ID" vbProcedure="false">TEHSHEET!$E$62</definedName>
    <definedName function="false" hidden="false" name="TITLE_BUHG_FLAG" vbProcedure="false">Титульный!$F$53</definedName>
    <definedName function="false" hidden="false" name="TITLE_CONNECTION_FLAG" vbProcedure="false">Титульный!$F$49</definedName>
    <definedName function="false" hidden="false" name="TITLE_DATA_TYPE" vbProcedure="false">Титульный!$F$17</definedName>
    <definedName function="false" hidden="false" name="TITLE_DATE_BUHG" vbProcedure="false">Титульный!$F$54</definedName>
    <definedName function="false" hidden="false" name="TITLE_DATE_CHANGE" vbProcedure="false">Титульный!$F$18</definedName>
    <definedName function="false" hidden="false" name="TITLE_DATE_CHANGE_PERIOD" vbProcedure="false">Титульный!$F$19</definedName>
    <definedName function="false" hidden="false" name="TITLE_DATE_FIL" vbProcedure="false">Титульный!$F$13</definedName>
    <definedName function="false" hidden="false" name="TITLE_DATE_PARKING" vbProcedure="false">Титульный!$H$5</definedName>
    <definedName function="false" hidden="false" name="TITLE_DATE_PR" vbProcedure="false">Титульный!$F$21</definedName>
    <definedName function="false" hidden="false" name="TITLE_DATE_PR_CHANGE" vbProcedure="false">Титульный!$F$26</definedName>
    <definedName function="false" hidden="false" name="TITLE_DIFFERENTIATION_TYPE" vbProcedure="false">Титульный!$F$41</definedName>
    <definedName function="false" hidden="false" name="TITLE_FIL_YEAR" vbProcedure="false">Титульный!$F$14</definedName>
    <definedName function="false" hidden="false" name="TITLE_FLAG_DIFF_SELLER" vbProcedure="false">Титульный!$F$46</definedName>
    <definedName function="false" hidden="false" name="TITLE_FLAG_INTERNET" vbProcedure="false">Титульный!$F$39</definedName>
    <definedName function="false" hidden="false" name="TITLE_FLAG_IP" vbProcedure="false">Титульный!$F$58</definedName>
    <definedName function="false" hidden="false" name="TITLE_FLAG_IP_DETAILED" vbProcedure="false">Титульный!$F$60</definedName>
    <definedName function="false" hidden="false" name="TITLE_FLAG_NOT_REG_PRICE" vbProcedure="false">Титульный!$F$51</definedName>
    <definedName function="false" hidden="false" name="TITLE_FLAG_NO_DIFF_COMPONENT" vbProcedure="false">Титульный!$F$47</definedName>
    <definedName function="false" hidden="false" name="TITLE_FLAG_OTV_ROIV" vbProcedure="false">Титульный!$F$10</definedName>
    <definedName function="false" hidden="false" name="TITLE_FLAG_REG_PRICE_IP" vbProcedure="false">Титульный!$F$59</definedName>
    <definedName function="false" hidden="false" name="TITLE_FLAG_TKO_TRANS" vbProcedure="false">Титульный!$F$62</definedName>
    <definedName function="false" hidden="false" name="TITLE_FLAG_TOP80_ACTIVITY" vbProcedure="false">Титульный!$F$56</definedName>
    <definedName function="false" hidden="false" name="TITLE_HEADER_PR_CHANGE" vbProcedure="false">Титульный!$F$25</definedName>
    <definedName function="false" hidden="false" name="TITLE_IP_DETAILED_METHOD_LIST" vbProcedure="false">TEHSHEET!$AZ$15:$AZ$17</definedName>
    <definedName function="false" hidden="false" name="TITLE_IST_PUB" vbProcedure="false">Титульный!$F$24</definedName>
    <definedName function="false" hidden="false" name="TITLE_IST_PUB_CHANGE" vbProcedure="false">Титульный!$F$29</definedName>
    <definedName function="false" hidden="false" name="TITLE_NAME_OR_PR" vbProcedure="false">Титульный!$F$23</definedName>
    <definedName function="false" hidden="false" name="TITLE_NAME_OR_PR_CHANGE" vbProcedure="false">Титульный!$F$28</definedName>
    <definedName function="false" hidden="false" name="TITLE_NUMBER_PR" vbProcedure="false">Титульный!$F$22</definedName>
    <definedName function="false" hidden="false" name="TITLE_NUMBER_PR_CHANGE" vbProcedure="false">Титульный!$F$27</definedName>
    <definedName function="false" hidden="false" name="TITLE_PERIOD_END" vbProcedure="false">Титульный!$F$12</definedName>
    <definedName function="false" hidden="false" name="TITLE_PERIOD_START" vbProcedure="false">Титульный!$F$11</definedName>
    <definedName function="false" hidden="false" name="TITLE_PRICE_INDICATORS_GRAPH" vbProcedure="false">Титульный!$F$44</definedName>
    <definedName function="false" hidden="false" name="TITLE_PRICE_INDICATORS_LEVEL" vbProcedure="false">Титульный!$F$43</definedName>
    <definedName function="false" hidden="false" name="TITLE_STRUCTURE_INFO_ROIV" vbProcedure="false">Титульный!$F$9</definedName>
    <definedName function="false" hidden="false" name="TITLE_TYPE_ORG" vbProcedure="false">Титульный!$F$36</definedName>
    <definedName function="false" hidden="false" name="TKO_PT_VED_ID" vbProcedure="false">TEHSHEET!$CC$19:$CC$24</definedName>
    <definedName function="false" hidden="false" name="TKO_PT_VED_NAME" vbProcedure="false">TEHSHEET!$CD$19:$CD$24</definedName>
    <definedName function="false" hidden="false" name="TKO_PT_VED_NAME_LIST" vbProcedure="false">TEHSHEET!$CC$19:$CD$24</definedName>
    <definedName function="false" hidden="false" name="TP_NAME_FORM" vbProcedure="false">DATA_FORMS!$C$3</definedName>
    <definedName function="false" hidden="false" name="TP_NUMBER_FORM" vbProcedure="false">DATA_FORMS!$C$2</definedName>
    <definedName function="false" hidden="false" name="TP_P_A" vbProcedure="false">DATA_NPA!$M$11</definedName>
    <definedName function="false" hidden="false" name="TP_P_B" vbProcedure="false">DATA_NPA!$M$12</definedName>
    <definedName function="false" hidden="false" name="TP_P_G" vbProcedure="false">DATA_NPA!$M$15</definedName>
    <definedName function="false" hidden="false" name="TP_P_NOTE_A" vbProcedure="false">DATA_NPA!$N$11</definedName>
    <definedName function="false" hidden="false" name="TP_P_NOTE_B" vbProcedure="false">DATA_NPA!$N$12</definedName>
    <definedName function="false" hidden="false" name="TP_P_NOTE_G" vbProcedure="false">DATA_NPA!$N$15</definedName>
    <definedName function="false" hidden="false" name="TP_P_NOTE_G_1" vbProcedure="false">DATA_NPA!$N$16</definedName>
    <definedName function="false" hidden="false" name="TP_P_NOTE_V" vbProcedure="false">DATA_NPA!$N$13</definedName>
    <definedName function="false" hidden="false" name="TP_P_NOTE_V_1" vbProcedure="false">DATA_NPA!$N$14</definedName>
    <definedName function="false" hidden="false" name="TP_P_V" vbProcedure="false">DATA_NPA!$M$13</definedName>
    <definedName function="false" hidden="false" name="TP_P_V_1" vbProcedure="false">DATA_NPA!$M$14</definedName>
    <definedName function="false" hidden="false" name="TYPE_TKO_LIST" vbProcedure="false">TEHSHEET!$AZ$85:$AZ$87</definedName>
    <definedName function="false" hidden="false" name="UNIT_CONNECT_LIST" vbProcedure="false">TEHSHEET!$AZ$106:$AZ$108</definedName>
    <definedName function="false" hidden="false" name="VDET_END_DATE" vbProcedure="false">TEHSHEET!$F$32</definedName>
    <definedName function="false" hidden="false" name="VDET_START_DATE" vbProcedure="false">TEHSHEET!$E$32</definedName>
    <definedName function="false" hidden="false" name="VD_ID_LIST" vbProcedure="false">REESTR_VED!$A$2:$A$4</definedName>
    <definedName function="false" hidden="false" name="VD_LIST" vbProcedure="false">REESTR_VED!$A$2:$B$4</definedName>
    <definedName function="false" hidden="false" name="VD_NAME_LIST" vbProcedure="false">REESTR_VED!$B$2:$B$4</definedName>
    <definedName function="false" hidden="false" name="version" vbProcedure="false">Инструкция!$B$3</definedName>
    <definedName function="false" hidden="false" name="VOTV_FIN_SRC_LIST" vbProcedure="false">TEHSHEET!$BL$4:$BL$36</definedName>
    <definedName function="false" hidden="false" name="VOTV_FIN_SRC_VLD_LIST" vbProcedure="false">TEHSHEET!$BL$39:$BL$62</definedName>
    <definedName function="false" hidden="false" name="VOTV_IP_EVENT_CI_STAGE_LIST" vbProcedure="false">TEHSHEET!$BL$97:$BL$100</definedName>
    <definedName function="false" hidden="false" name="VOTV_IP_EVENT_GROUP_LIST" vbProcedure="false">TEHSHEET!$BL$69:$BL$76</definedName>
    <definedName function="false" hidden="false" name="VOTV_IP_EVENT_SUBGROUP_1_LIST" vbProcedure="false">TEHSHEET!$BL$80:$BL$83</definedName>
    <definedName function="false" hidden="false" name="VOTV_IP_EVENT_SUBGROUP_3_LIST" vbProcedure="false">TEHSHEET!$BL$87:$BL$88</definedName>
    <definedName function="false" hidden="false" name="VOTV_IP_EVENT_SUBGROUP_5_LIST" vbProcedure="false">TEHSHEET!$BL$92:$BL$93</definedName>
    <definedName function="false" hidden="false" name="VOTV_IP_EVENT_TYPE_LIST" vbProcedure="false">TEHSHEET!$BL$108</definedName>
    <definedName function="false" hidden="false" name="VOTV_PT_VED_ID" vbProcedure="false">TEHSHEET!$BZ$19:$BZ$21</definedName>
    <definedName function="false" hidden="false" name="VOTV_PT_VED_NAME" vbProcedure="false">TEHSHEET!$CA$19:$CA$21</definedName>
    <definedName function="false" hidden="false" name="VOTV_PT_VED_NAME_LIST" vbProcedure="false">TEHSHEET!$BZ$19:$CA$21</definedName>
    <definedName function="false" hidden="false" name="VOTV_TARIFF_A_VOTV_ADD_HL_COLUMN_MARKER" vbProcedure="false">'ВО. Т-во'!$T$34</definedName>
    <definedName function="false" hidden="false" name="VOTV_TARIFF_A_VOTV_DELETE_PERIOD_ROW_MARKER" vbProcedure="false">'ВО. Т-во'!$O$35</definedName>
    <definedName function="false" hidden="false" name="VOTV_TARIFF_A_VOTV_DEL_HL_DATA_DIFF_COLUMN_MARKER" vbProcedure="false">'ВО. Т-во'!$R$34</definedName>
    <definedName function="false" hidden="false" name="VOTV_TARIFF_A_VOTV_DEL_HL_FLAG_DIFF_COLUMN_MARKER" vbProcedure="false">'ВО. Т-во'!$P$34</definedName>
    <definedName function="false" hidden="false" name="VOTV_TARIFF_A_VOTV_DEL_HL_GC_COLUMN_MARKER" vbProcedure="false">'ВО. Т-во'!$Q$34</definedName>
    <definedName function="false" hidden="false" name="VOTV_TARIFF_A_VOTV_FLAG_BLOCK_COLUMN_MARKER" vbProcedure="false">'ВО. Т-во'!$L$36</definedName>
    <definedName function="false" hidden="false" name="VOTV_TARIFF_A_VOTV_FLAG_BLOCK_ROW_MARKER" vbProcedure="false">'ВО. Т-во'!$O$20</definedName>
    <definedName function="false" hidden="false" name="VOTV_TARIFF_A_VOTV_NUM_CS_COLUMN_MARKER" vbProcedure="false">'ВО. Т-во'!$G$36</definedName>
    <definedName function="false" hidden="false" name="VOTV_TARIFF_A_VOTV_NUM_DATA_DIFF_COLUMN_MARKER" vbProcedure="false">'ВО. Т-во'!$K$36</definedName>
    <definedName function="false" hidden="false" name="VOTV_TARIFF_A_VOTV_NUM_FLAG_DIFF_COLUMN_MARKER" vbProcedure="false">'ВО. Т-во'!$I$36</definedName>
    <definedName function="false" hidden="false" name="VOTV_TARIFF_A_VOTV_NUM_GC_COLUMN_MARKER" vbProcedure="false">'ВО. Т-во'!$J$36</definedName>
    <definedName function="false" hidden="false" name="VOTV_TARIFF_A_VOTV_NUM_NTAR_COLUMN_MARKER" vbProcedure="false">'ВО. Т-во'!$E$36</definedName>
    <definedName function="false" hidden="false" name="VOTV_TARIFF_A_VOTV_NUM_TER_COLUMN_MARKER" vbProcedure="false">'ВО. Т-во'!$F$36</definedName>
    <definedName function="false" hidden="false" name="VOTV_TARIFF_B_VOTV_ADD_HL_COLUMN_MARKER" vbProcedure="false">'ВО. Т-транс'!$T$34</definedName>
    <definedName function="false" hidden="false" name="VOTV_TARIFF_B_VOTV_DELETE_PERIOD_ROW_MARKER" vbProcedure="false">'ВО. Т-транс'!$O$35</definedName>
    <definedName function="false" hidden="false" name="VOTV_TARIFF_B_VOTV_DEL_HL_DATA_DIFF_COLUMN_MARKER" vbProcedure="false">'ВО. Т-транс'!$R$34</definedName>
    <definedName function="false" hidden="false" name="VOTV_TARIFF_B_VOTV_DEL_HL_FLAG_DIFF_COLUMN_MARKER" vbProcedure="false">'ВО. Т-транс'!$P$34</definedName>
    <definedName function="false" hidden="false" name="VOTV_TARIFF_B_VOTV_DEL_HL_GC_COLUMN_MARKER" vbProcedure="false">'ВО. Т-транс'!$Q$34</definedName>
    <definedName function="false" hidden="false" name="VOTV_TARIFF_B_VOTV_FLAG_BLOCK_COLUMN_MARKER" vbProcedure="false">'ВО. Т-транс'!$L$36</definedName>
    <definedName function="false" hidden="false" name="VOTV_TARIFF_B_VOTV_FLAG_BLOCK_ROW_MARKER" vbProcedure="false">'ВО. Т-транс'!$O$20</definedName>
    <definedName function="false" hidden="false" name="VOTV_TARIFF_B_VOTV_NUM_CS_COLUMN_MARKER" vbProcedure="false">'ВО. Т-транс'!$G$36</definedName>
    <definedName function="false" hidden="false" name="VOTV_TARIFF_B_VOTV_NUM_DATA_DIFF_COLUMN_MARKER" vbProcedure="false">'ВО. Т-транс'!$K$36</definedName>
    <definedName function="false" hidden="false" name="VOTV_TARIFF_B_VOTV_NUM_FLAG_DIFF_COLUMN_MARKER" vbProcedure="false">'ВО. Т-транс'!$I$36</definedName>
    <definedName function="false" hidden="false" name="VOTV_TARIFF_B_VOTV_NUM_GC_COLUMN_MARKER" vbProcedure="false">'ВО. Т-транс'!$J$36</definedName>
    <definedName function="false" hidden="false" name="VOTV_TARIFF_B_VOTV_NUM_NTAR_COLUMN_MARKER" vbProcedure="false">'ВО. Т-транс'!$E$36</definedName>
    <definedName function="false" hidden="false" name="VOTV_TARIFF_B_VOTV_NUM_TER_COLUMN_MARKER" vbProcedure="false">'ВО. Т-транс'!$F$36</definedName>
    <definedName function="false" hidden="false" name="VOTV_TARIFF_C_VOTV_ADD_HL_COLUMN_MARKER" vbProcedure="false">'ВО. Т-подкл'!$T$38</definedName>
    <definedName function="false" hidden="false" name="VOTV_TARIFF_C_VOTV_ADD_HL_DIAMETERS_COLUMN_MARKER" vbProcedure="false">'ВО. Т-подкл'!$AK$38</definedName>
    <definedName function="false" hidden="false" name="VOTV_TARIFF_C_VOTV_ADD_HL_LEN_COLUMN_MARKER" vbProcedure="false">'ВО. Т-подкл'!$AO$38</definedName>
    <definedName function="false" hidden="false" name="VOTV_TARIFF_C_VOTV_ADD_HL_LOAD_COLUMN_MARKER" vbProcedure="false">'ВО. Т-подкл'!$AG$38</definedName>
    <definedName function="false" hidden="false" name="VOTV_TARIFF_C_VOTV_ADD_HL_NETS_COLUMN_MARKER" vbProcedure="false">'ВО. Т-подкл'!$AS$38</definedName>
    <definedName function="false" hidden="false" name="VOTV_TARIFF_C_VOTV_DELETE_PERIOD_ROW_MARKER" vbProcedure="false">'ВО. Т-подкл'!$O$39</definedName>
    <definedName function="false" hidden="false" name="VOTV_TARIFF_C_VOTV_DEL_HL_DATA_DIFF_COLUMN_MARKER" vbProcedure="false">'ВО. Т-подкл'!$R$38</definedName>
    <definedName function="false" hidden="false" name="VOTV_TARIFF_C_VOTV_DEL_HL_DIAMETERS_COLUMN_MARKER" vbProcedure="false">'ВО. Т-подкл'!$AI$38</definedName>
    <definedName function="false" hidden="false" name="VOTV_TARIFF_C_VOTV_DEL_HL_FLAG_DIFF_COLUMN_MARKER" vbProcedure="false">'ВО. Т-подкл'!$P$38</definedName>
    <definedName function="false" hidden="false" name="VOTV_TARIFF_C_VOTV_DEL_HL_GC_COLUMN_MARKER" vbProcedure="false">'ВО. Т-подкл'!$Q$38</definedName>
    <definedName function="false" hidden="false" name="VOTV_TARIFF_C_VOTV_DEL_HL_LEN_COLUMN_MARKER" vbProcedure="false">'ВО. Т-подкл'!$AM$38</definedName>
    <definedName function="false" hidden="false" name="VOTV_TARIFF_C_VOTV_DEL_HL_LOAD_COLUMN_MARKER" vbProcedure="false">'ВО. Т-подкл'!$AE$38</definedName>
    <definedName function="false" hidden="false" name="VOTV_TARIFF_C_VOTV_DEL_HL_NETS_COLUMN_MARKER" vbProcedure="false">'ВО. Т-подкл'!$AQ$38</definedName>
    <definedName function="false" hidden="false" name="VOTV_TARIFF_C_VOTV_FLAG_BLOCK_COLUMN_MARKER" vbProcedure="false">'ВО. Т-подкл'!$L$44</definedName>
    <definedName function="false" hidden="false" name="VOTV_TARIFF_C_VOTV_FLAG_BLOCK_ROW_MARKER" vbProcedure="false">'ВО. Т-подкл'!$O$24</definedName>
    <definedName function="false" hidden="false" name="VOTV_TARIFF_C_VOTV_NUM_CS_COLUMN_MARKER" vbProcedure="false">'ВО. Т-подкл'!$G$44</definedName>
    <definedName function="false" hidden="false" name="VOTV_TARIFF_C_VOTV_NUM_DATA_DIFF_COLUMN_MARKER" vbProcedure="false">'ВО. Т-подкл'!$K$44</definedName>
    <definedName function="false" hidden="false" name="VOTV_TARIFF_C_VOTV_NUM_DIAMETERS_COLUMN_MARKER" vbProcedure="false">'ВО. Т-подкл'!$AJ$38</definedName>
    <definedName function="false" hidden="false" name="VOTV_TARIFF_C_VOTV_NUM_FLAG_DIFF_COLUMN_MARKER" vbProcedure="false">'ВО. Т-подкл'!$I$44</definedName>
    <definedName function="false" hidden="false" name="VOTV_TARIFF_C_VOTV_NUM_GC_COLUMN_MARKER" vbProcedure="false">'ВО. Т-подкл'!$J$44</definedName>
    <definedName function="false" hidden="false" name="VOTV_TARIFF_C_VOTV_NUM_LEN_COLUMN_MARKER" vbProcedure="false">'ВО. Т-подкл'!$AN$38</definedName>
    <definedName function="false" hidden="false" name="VOTV_TARIFF_C_VOTV_NUM_LOAD_COLUMN_MARKER" vbProcedure="false">'ВО. Т-подкл'!$AF$38</definedName>
    <definedName function="false" hidden="false" name="VOTV_TARIFF_C_VOTV_NUM_NETS_COLUMN_MARKER" vbProcedure="false">'ВО. Т-подкл'!$AR$38</definedName>
    <definedName function="false" hidden="false" name="VOTV_TARIFF_C_VOTV_NUM_NTAR_COLUMN_MARKER" vbProcedure="false">'ВО. Т-подкл'!$E$44</definedName>
    <definedName function="false" hidden="false" name="VOTV_TARIFF_C_VOTV_NUM_TER_COLUMN_MARKER" vbProcedure="false">'ВО. Т-подкл'!$F$44</definedName>
    <definedName function="false" hidden="false" name="VSNA_FIN_SRC_LIST" vbProcedure="false">TEHSHEET!$BJ$4:$BJ$34</definedName>
    <definedName function="false" hidden="false" name="VSNA_FIN_SRC_VLD_LIST" vbProcedure="false">TEHSHEET!$BJ$39:$BJ$60</definedName>
    <definedName function="false" hidden="false" name="VSNA_IP_EVENT_CI_STAGE_LIST" vbProcedure="false">TEHSHEET!$BJ$97:$BJ$100</definedName>
    <definedName function="false" hidden="false" name="VSNA_IP_EVENT_GROUP_LIST" vbProcedure="false">TEHSHEET!$BJ$69:$BJ$76</definedName>
    <definedName function="false" hidden="false" name="VSNA_IP_EVENT_SUBGROUP_1_LIST" vbProcedure="false">TEHSHEET!$BJ$80:$BJ$83</definedName>
    <definedName function="false" hidden="false" name="VSNA_IP_EVENT_SUBGROUP_3_LIST" vbProcedure="false">TEHSHEET!$BJ$87:$BJ$88</definedName>
    <definedName function="false" hidden="false" name="VSNA_IP_EVENT_SUBGROUP_5_LIST" vbProcedure="false">TEHSHEET!$BJ$92:$BJ$93</definedName>
    <definedName function="false" hidden="false" name="VSNA_IP_EVENT_TYPE_LIST" vbProcedure="false">TEHSHEET!$BJ$108</definedName>
    <definedName function="false" hidden="false" name="VTAR_ID" vbProcedure="false">TEHSHEET!$E$59</definedName>
    <definedName function="false" hidden="false" name="YEAR_IP_LIST" vbProcedure="false">TEHSHEET!$BE$2:$BE$72</definedName>
    <definedName function="false" hidden="false" name="year_list" vbProcedure="false">TEHSHEET!$C$2:$C$6</definedName>
    <definedName function="false" hidden="false" name="year_list1" vbProcedure="false">TEHSHEET!$B$2:$B$27</definedName>
    <definedName function="false" hidden="false" name="Y_N_DIFFERENTIATION_AREA" vbProcedure="false">Дифференциация!$F$12:$F$16</definedName>
    <definedName function="false" hidden="false" name="Y_N_DIFFERENTIATION_SYSTEM" vbProcedure="false">Дифференциация!$J$12:$J$16</definedName>
    <definedName function="false" hidden="false" localSheetId="59" name="_xlnm._FilterDatabase" vbProcedure="false">Проверка!$B$4:$E$5</definedName>
  </definedNames>
  <calcPr iterateCount="100" refMode="A1" iterate="true" iterateDelta="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G S E</author>
  </authors>
  <commentList>
    <comment ref="E37" authorId="0">
      <text>
        <r>
          <rPr>
            <sz val="10"/>
            <rFont val="Open Sans"/>
            <family val="2"/>
          </rPr>
          <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51.xml><?xml version="1.0" encoding="utf-8"?>
<comments xmlns="http://schemas.openxmlformats.org/spreadsheetml/2006/main" xmlns:xdr="http://schemas.openxmlformats.org/drawingml/2006/spreadsheetDrawing">
  <authors>
    <author>G S E</author>
  </authors>
  <commentList>
    <comment ref="L6" authorId="0">
      <text>
        <r>
          <rPr>
            <sz val="10"/>
            <rFont val="Open Sans"/>
            <family val="2"/>
          </rPr>
          <t xml:space="preserve">тут будет больше 0, если выбран хотя бы один метод, отличный от экономически обоснованных</t>
        </r>
      </text>
    </comment>
    <comment ref="AZ1" authorId="0">
      <text>
        <r>
          <rPr>
            <sz val="10"/>
            <rFont val="Open Sans"/>
            <family val="2"/>
          </rPr>
          <t xml:space="preserve">Тип организации</t>
        </r>
      </text>
    </comment>
  </commentList>
</comments>
</file>

<file path=xl/comments63.xml><?xml version="1.0" encoding="utf-8"?>
<comments xmlns="http://schemas.openxmlformats.org/spreadsheetml/2006/main" xmlns:xdr="http://schemas.openxmlformats.org/drawingml/2006/spreadsheetDrawing">
  <authors>
    <author>G S E</author>
  </authors>
  <commentList>
    <comment ref="P2" authorId="0">
      <text>
        <r>
          <rPr>
            <sz val="10"/>
            <rFont val="Open Sans"/>
            <family val="2"/>
          </rPr>
          <t xml:space="preserve">сюда же для некоторых формул может входить:
- VOTV
- HOTVSNA</t>
        </r>
      </text>
    </comment>
    <comment ref="U2" authorId="0">
      <text>
        <r>
          <rPr>
            <sz val="10"/>
            <rFont val="Open Sans"/>
            <family val="2"/>
          </rPr>
          <t xml:space="preserve">сюда же для некоторых формул может входить:
- VOTV
- HOTVSNA</t>
        </r>
      </text>
    </comment>
  </commentList>
</comments>
</file>

<file path=xl/sharedStrings.xml><?xml version="1.0" encoding="utf-8"?>
<sst xmlns="http://schemas.openxmlformats.org/spreadsheetml/2006/main" count="21043" uniqueCount="5341">
  <si>
    <t xml:space="preserve"> (требуется обновление)</t>
  </si>
  <si>
    <t xml:space="preserve">Код отчёта: PP108.OPEN.INFO.QUARTER.VOTV.EIAS</t>
  </si>
  <si>
    <t xml:space="preserve">Версия отчёта: 1.1.1</t>
  </si>
  <si>
    <t xml:space="preserve">Условные обозначения</t>
  </si>
  <si>
    <t xml:space="preserve">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</si>
  <si>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</si>
  <si>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</si>
  <si>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</si>
  <si>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</si>
  <si>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</si>
  <si>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</si>
  <si>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</si>
  <si>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</si>
  <si>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 xml:space="preserve">26477116</t>
  </si>
  <si>
    <t xml:space="preserve">Flag_Row_Size</t>
  </si>
  <si>
    <t xml:space="preserve">Субъект РФ</t>
  </si>
  <si>
    <t xml:space="preserve">Свердловская область</t>
  </si>
  <si>
    <t xml:space="preserve">Состав раскрываемой информации</t>
  </si>
  <si>
    <t xml:space="preserve">Привлечение к ответственности за указанный период отсутствует</t>
  </si>
  <si>
    <t xml:space="preserve">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</si>
  <si>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</si>
  <si>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</si>
  <si>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</si>
  <si>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</si>
  <si>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</si>
  <si>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</si>
  <si>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 xml:space="preserve">ORG</t>
  </si>
  <si>
    <t xml:space="preserve">Дата
предоставления информации</t>
  </si>
  <si>
    <t xml:space="preserve">Дата предоставления информации</t>
  </si>
  <si>
    <t xml:space="preserve">BALANCE, QUARTER, TERMS</t>
  </si>
  <si>
    <t xml:space="preserve">Год</t>
  </si>
  <si>
    <t xml:space="preserve">Отчётный период (год)</t>
  </si>
  <si>
    <t xml:space="preserve">QUARTER</t>
  </si>
  <si>
    <t xml:space="preserve">Квартал</t>
  </si>
  <si>
    <t xml:space="preserve">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</si>
  <si>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</si>
  <si>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</si>
  <si>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</si>
  <si>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</si>
  <si>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</si>
  <si>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</si>
  <si>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</si>
  <si>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</si>
  <si>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</si>
  <si>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</si>
  <si>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ПАО "ОГК-2" - Серовская ГРЭС, г. Серов</t>
  </si>
  <si>
    <t xml:space="preserve">Наименование (описание) обособленного подразделения</t>
  </si>
  <si>
    <t xml:space="preserve">ИНН</t>
  </si>
  <si>
    <t xml:space="preserve">2607018122</t>
  </si>
  <si>
    <t xml:space="preserve">КПП</t>
  </si>
  <si>
    <t xml:space="preserve">663202001</t>
  </si>
  <si>
    <t xml:space="preserve">Тип теплоснабжающей организации</t>
  </si>
  <si>
    <t xml:space="preserve">Система налогообложения</t>
  </si>
  <si>
    <t xml:space="preserve">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</si>
  <si>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</si>
  <si>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</si>
  <si>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</si>
  <si>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rPr>
        <sz val="9"/>
        <rFont val="Tahoma"/>
        <family val="0"/>
        <charset val="1"/>
      </rPr>
      <t xml:space="preserve">Тариф на горячую воду предлагается </t>
    </r>
    <r>
      <rPr>
        <b val="true"/>
        <sz val="9"/>
        <rFont val="Tahoma"/>
        <family val="2"/>
        <charset val="204"/>
      </rPr>
      <t xml:space="preserve">с (!)</t>
    </r>
    <r>
      <rPr>
        <sz val="9"/>
        <rFont val="Tahoma"/>
        <family val="2"/>
        <charset val="204"/>
      </rPr>
      <t xml:space="preserve"> разбивкой по поставщикам</t>
    </r>
  </si>
  <si>
    <r>
      <rPr>
        <sz val="9"/>
        <rFont val="Tahoma"/>
        <family val="0"/>
        <charset val="1"/>
      </rPr>
      <t xml:space="preserve">Тариф на горячую воду предлагается </t>
    </r>
    <r>
      <rPr>
        <b val="true"/>
        <sz val="9"/>
        <rFont val="Tahoma"/>
        <family val="2"/>
        <charset val="204"/>
      </rPr>
      <t xml:space="preserve">без (!)</t>
    </r>
    <r>
      <rPr>
        <sz val="9"/>
        <rFont val="Tahoma"/>
        <family val="2"/>
        <charset val="204"/>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</si>
  <si>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</si>
  <si>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</si>
  <si>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</si>
  <si>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</si>
  <si>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</si>
  <si>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</si>
  <si>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</si>
  <si>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</si>
  <si>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</si>
  <si>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624983, Российская Федерация, Свердловская обл., г.Серов, Улица Пристанционная, д.1</t>
  </si>
  <si>
    <t xml:space="preserve">Фамилия, имя, отчество руководителя</t>
  </si>
  <si>
    <t xml:space="preserve">Бадин Андрей Николаевич</t>
  </si>
  <si>
    <t xml:space="preserve">Ответственный за заполнение формы</t>
  </si>
  <si>
    <t xml:space="preserve">Фамилия, имя, отчество</t>
  </si>
  <si>
    <t xml:space="preserve">Потапова Ирина Леонидовна</t>
  </si>
  <si>
    <t xml:space="preserve">Должность</t>
  </si>
  <si>
    <t xml:space="preserve">Начальник финансово-экономического управления</t>
  </si>
  <si>
    <t xml:space="preserve">Контактный телефон</t>
  </si>
  <si>
    <t xml:space="preserve">+7(34385)46635</t>
  </si>
  <si>
    <t xml:space="preserve">E-mail</t>
  </si>
  <si>
    <t xml:space="preserve">potapovail@ser.ogk2.ru</t>
  </si>
  <si>
    <t xml:space="preserve">Flag_Col_Size</t>
  </si>
  <si>
    <t xml:space="preserve">МР</t>
  </si>
  <si>
    <t xml:space="preserve">МО</t>
  </si>
  <si>
    <t xml:space="preserve">ОКТМО</t>
  </si>
  <si>
    <t xml:space="preserve">Муниципальный район</t>
  </si>
  <si>
    <t xml:space="preserve">Муниципальное образование</t>
  </si>
  <si>
    <t xml:space="preserve">№ п/п</t>
  </si>
  <si>
    <t xml:space="preserve">Наименование</t>
  </si>
  <si>
    <t xml:space="preserve">3</t>
  </si>
  <si>
    <t xml:space="preserve">4</t>
  </si>
  <si>
    <t xml:space="preserve">6</t>
  </si>
  <si>
    <t xml:space="preserve">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</si>
  <si>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</si>
  <si>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</si>
  <si>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</si>
  <si>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</si>
  <si>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 xml:space="preserve">ter_1</t>
  </si>
  <si>
    <t xml:space="preserve">42</t>
  </si>
  <si>
    <t xml:space="preserve">Серовский городской округ</t>
  </si>
  <si>
    <t xml:space="preserve">65756000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</si>
  <si>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</si>
  <si>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</si>
  <si>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</si>
  <si>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</si>
  <si>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</si>
  <si>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</si>
  <si>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 xml:space="preserve">да/нет</t>
  </si>
  <si>
    <t xml:space="preserve">1</t>
  </si>
  <si>
    <t xml:space="preserve">2</t>
  </si>
  <si>
    <t xml:space="preserve">5</t>
  </si>
  <si>
    <t xml:space="preserve">8</t>
  </si>
  <si>
    <t xml:space="preserve">ID_DIFF</t>
  </si>
  <si>
    <t xml:space="preserve">VD</t>
  </si>
  <si>
    <t xml:space="preserve">AREA</t>
  </si>
  <si>
    <t xml:space="preserve">SYSTEM</t>
  </si>
  <si>
    <t xml:space="preserve">diff_1</t>
  </si>
  <si>
    <t xml:space="preserve">4189714; 4189713</t>
  </si>
  <si>
    <t xml:space="preserve">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</si>
  <si>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</si>
  <si>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</si>
  <si>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</si>
  <si>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</si>
  <si>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</si>
  <si>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</si>
  <si>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</si>
  <si>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</si>
  <si>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 xml:space="preserve">Примечание</t>
  </si>
  <si>
    <t xml:space="preserve">Установлен для организации</t>
  </si>
  <si>
    <t xml:space="preserve">Описание</t>
  </si>
  <si>
    <t xml:space="preserve">TER_ID</t>
  </si>
  <si>
    <t xml:space="preserve">VTAR_ID</t>
  </si>
  <si>
    <t xml:space="preserve">VD_ID</t>
  </si>
  <si>
    <t xml:space="preserve">ID_VTAR</t>
  </si>
  <si>
    <t xml:space="preserve">ID_NTAR</t>
  </si>
  <si>
    <t xml:space="preserve">ID_TER</t>
  </si>
  <si>
    <t xml:space="preserve">ID_CS</t>
  </si>
  <si>
    <t xml:space="preserve">ID_IST_TE</t>
  </si>
  <si>
    <t xml:space="preserve">ВидТарифа</t>
  </si>
  <si>
    <t xml:space="preserve">ВидДеятельности</t>
  </si>
  <si>
    <t xml:space="preserve">НаименованиеТарифа</t>
  </si>
  <si>
    <t xml:space="preserve">Территория</t>
  </si>
  <si>
    <t xml:space="preserve">ЦентрализованнаяСистема</t>
  </si>
  <si>
    <t xml:space="preserve">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</si>
  <si>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</si>
  <si>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</si>
  <si>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</si>
  <si>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</si>
  <si>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 xml:space="preserve">9</t>
  </si>
  <si>
    <t xml:space="preserve">10</t>
  </si>
  <si>
    <t xml:space="preserve">11</t>
  </si>
  <si>
    <t xml:space="preserve">12</t>
  </si>
  <si>
    <t xml:space="preserve">13</t>
  </si>
  <si>
    <t xml:space="preserve">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</si>
  <si>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</si>
  <si>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pIns_PT_VTAR_A</t>
  </si>
  <si>
    <t xml:space="preserve">pt_ntar_1</t>
  </si>
  <si>
    <t xml:space="preserve">pt_ter_1</t>
  </si>
  <si>
    <t xml:space="preserve">pt_cs_1</t>
  </si>
  <si>
    <t xml:space="preserve">pt_ist_te_1</t>
  </si>
  <si>
    <t xml:space="preserve">pIns_PT_VTAR_B</t>
  </si>
  <si>
    <t xml:space="preserve">pt_ntar_2</t>
  </si>
  <si>
    <t xml:space="preserve">pt_ter_2</t>
  </si>
  <si>
    <t xml:space="preserve">pt_cs_2</t>
  </si>
  <si>
    <t xml:space="preserve">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</si>
  <si>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</si>
  <si>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</si>
  <si>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 xml:space="preserve">pIns_PT_VTAR_C</t>
  </si>
  <si>
    <t xml:space="preserve">pt_ntar_3</t>
  </si>
  <si>
    <t xml:space="preserve">pt_ter_3</t>
  </si>
  <si>
    <t xml:space="preserve">pt_cs_3</t>
  </si>
  <si>
    <t xml:space="preserve">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</si>
  <si>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</si>
  <si>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pIns_PT_VTAR_D</t>
  </si>
  <si>
    <t xml:space="preserve">pt_ntar_4</t>
  </si>
  <si>
    <t xml:space="preserve">pt_ter_4</t>
  </si>
  <si>
    <t xml:space="preserve">pt_cs_4</t>
  </si>
  <si>
    <t xml:space="preserve">pt_ist_te_4</t>
  </si>
  <si>
    <t xml:space="preserve">Тарифы на услуги по передаче тепловой энергии</t>
  </si>
  <si>
    <t xml:space="preserve">pIns_PT_VTAR_E1</t>
  </si>
  <si>
    <t xml:space="preserve">pt_ntar_5</t>
  </si>
  <si>
    <t xml:space="preserve">pt_ter_5</t>
  </si>
  <si>
    <t xml:space="preserve">pt_cs_5</t>
  </si>
  <si>
    <t xml:space="preserve">pt_ist_te_5</t>
  </si>
  <si>
    <t xml:space="preserve">Тарифы на услуги по передаче теплоносителя</t>
  </si>
  <si>
    <t xml:space="preserve">pIns_PT_VTAR_E2</t>
  </si>
  <si>
    <t xml:space="preserve">pt_ntar_6</t>
  </si>
  <si>
    <t xml:space="preserve">pt_ter_6</t>
  </si>
  <si>
    <t xml:space="preserve">pt_cs_6</t>
  </si>
  <si>
    <t xml:space="preserve">pt_ist_te_6</t>
  </si>
  <si>
    <t xml:space="preserve">Плата за услуги по поддержанию резервной тепловой мощности при отсутствии потребления тепловой энергии</t>
  </si>
  <si>
    <t xml:space="preserve">pIns_PT_VTAR_F</t>
  </si>
  <si>
    <t xml:space="preserve">pt_ntar_7</t>
  </si>
  <si>
    <t xml:space="preserve">pt_ter_7</t>
  </si>
  <si>
    <t xml:space="preserve">pt_cs_7</t>
  </si>
  <si>
    <t xml:space="preserve">pt_ist_te_7</t>
  </si>
  <si>
    <t xml:space="preserve">Плата за подключение (технологическое присоединение) к системе теплоснабжения</t>
  </si>
  <si>
    <t xml:space="preserve">pIns_PT_VTAR_G</t>
  </si>
  <si>
    <t xml:space="preserve">pt_ntar_8</t>
  </si>
  <si>
    <t xml:space="preserve">pt_ter_8</t>
  </si>
  <si>
    <t xml:space="preserve">pt_cs_8</t>
  </si>
  <si>
    <t xml:space="preserve">pt_ist_te_8</t>
  </si>
  <si>
    <t xml:space="preserve">Плата за подключение (технологическое присоединение) к системе теплоснабжения (индивидуальная)</t>
  </si>
  <si>
    <t xml:space="preserve">pIns_PT_VTAR_H</t>
  </si>
  <si>
    <t xml:space="preserve">pt_ntar_20</t>
  </si>
  <si>
    <t xml:space="preserve">pt_ter_20</t>
  </si>
  <si>
    <t xml:space="preserve">pt_cs_20</t>
  </si>
  <si>
    <t xml:space="preserve">pt_ist_te_20</t>
  </si>
  <si>
    <t xml:space="preserve">Предельный уровень цены на тепловую энергию (мощность), поставляемую теплоснабжающими организациями потребителям</t>
  </si>
  <si>
    <t xml:space="preserve">pIns_PT_VTAR_I</t>
  </si>
  <si>
    <t xml:space="preserve">pt_ntar_21</t>
  </si>
  <si>
    <t xml:space="preserve">pt_ter_21</t>
  </si>
  <si>
    <t xml:space="preserve">pt_cs_21</t>
  </si>
  <si>
    <t xml:space="preserve">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</si>
  <si>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</si>
  <si>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</si>
  <si>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</si>
  <si>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</si>
  <si>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</si>
  <si>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</si>
  <si>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</si>
  <si>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</si>
  <si>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</si>
  <si>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 xml:space="preserve">pIns_PT_VTAR_A_COLDVSNA</t>
  </si>
  <si>
    <t xml:space="preserve">pt_ntar_9</t>
  </si>
  <si>
    <t xml:space="preserve">pt_ter_9</t>
  </si>
  <si>
    <t xml:space="preserve">pt_cs_9</t>
  </si>
  <si>
    <t xml:space="preserve">Тариф на техническую воду</t>
  </si>
  <si>
    <t xml:space="preserve">pIns_PT_VTAR_B_COLDVSNA</t>
  </si>
  <si>
    <t xml:space="preserve">pt_ntar_10</t>
  </si>
  <si>
    <t xml:space="preserve">pt_ter_10</t>
  </si>
  <si>
    <t xml:space="preserve">pt_cs_10</t>
  </si>
  <si>
    <t xml:space="preserve">Тариф на транспортировку воды</t>
  </si>
  <si>
    <t xml:space="preserve">pIns_PT_VTAR_C_COLDVSNA</t>
  </si>
  <si>
    <t xml:space="preserve">pt_ntar_11</t>
  </si>
  <si>
    <t xml:space="preserve">pt_ter_11</t>
  </si>
  <si>
    <t xml:space="preserve">pt_cs_11</t>
  </si>
  <si>
    <t xml:space="preserve">Тариф на подвоз воды</t>
  </si>
  <si>
    <t xml:space="preserve">pIns_PT_VTAR_D_COLDVSNA</t>
  </si>
  <si>
    <t xml:space="preserve">pt_ntar_12</t>
  </si>
  <si>
    <t xml:space="preserve">pt_ter_12</t>
  </si>
  <si>
    <t xml:space="preserve">pt_cs_12</t>
  </si>
  <si>
    <t xml:space="preserve">Тариф на подключение (технологическое присоединение) к централизованной системе холодного водоснабжения</t>
  </si>
  <si>
    <t xml:space="preserve">pIns_PT_VTAR_E_COLDVSNA</t>
  </si>
  <si>
    <t xml:space="preserve">pt_ntar_13</t>
  </si>
  <si>
    <t xml:space="preserve">pt_ter_13</t>
  </si>
  <si>
    <t xml:space="preserve">pt_cs_13</t>
  </si>
  <si>
    <t xml:space="preserve">Тариф на горячую воду (горячее водоснабжение)</t>
  </si>
  <si>
    <t xml:space="preserve">pIns_PT_VTAR_A_HOTVSNA</t>
  </si>
  <si>
    <t xml:space="preserve">pt_ntar_14</t>
  </si>
  <si>
    <t xml:space="preserve">pt_ter_14</t>
  </si>
  <si>
    <t xml:space="preserve">pt_cs_14</t>
  </si>
  <si>
    <t xml:space="preserve">Тариф на транспортировку горячей воды</t>
  </si>
  <si>
    <t xml:space="preserve">pIns_PT_VTAR_B_HOTVSNA</t>
  </si>
  <si>
    <t xml:space="preserve">pt_ntar_15</t>
  </si>
  <si>
    <t xml:space="preserve">pt_ter_15</t>
  </si>
  <si>
    <t xml:space="preserve">pt_cs_15</t>
  </si>
  <si>
    <t xml:space="preserve">Тариф на подключение (технологическое присоединение) к централизованной системе горячего водоснабжения</t>
  </si>
  <si>
    <t xml:space="preserve">pIns_PT_VTAR_C_HOTVSNA</t>
  </si>
  <si>
    <t xml:space="preserve">pt_ntar_16</t>
  </si>
  <si>
    <t xml:space="preserve">pt_ter_16</t>
  </si>
  <si>
    <t xml:space="preserve">pt_cs_16</t>
  </si>
  <si>
    <t xml:space="preserve">Тариф на водоотведение</t>
  </si>
  <si>
    <t xml:space="preserve">pIns_PT_VTAR_A_VOTV</t>
  </si>
  <si>
    <t xml:space="preserve">pt_ntar_17</t>
  </si>
  <si>
    <t xml:space="preserve">pt_ter_17</t>
  </si>
  <si>
    <t xml:space="preserve">pt_cs_17</t>
  </si>
  <si>
    <t xml:space="preserve">Тариф на транспортировку сточных вод</t>
  </si>
  <si>
    <t xml:space="preserve">pIns_PT_VTAR_B_VOTV</t>
  </si>
  <si>
    <t xml:space="preserve">pt_ntar_18</t>
  </si>
  <si>
    <t xml:space="preserve">pt_ter_18</t>
  </si>
  <si>
    <t xml:space="preserve">pt_cs_18</t>
  </si>
  <si>
    <t xml:space="preserve">Тариф на подключение (технологическое присоединение) к централизованной системе водоотведения</t>
  </si>
  <si>
    <t xml:space="preserve">pIns_PT_VTAR_C_VOTV</t>
  </si>
  <si>
    <t xml:space="preserve">pt_ntar_19</t>
  </si>
  <si>
    <t xml:space="preserve">pt_ter_19</t>
  </si>
  <si>
    <t xml:space="preserve">pt_cs_19</t>
  </si>
  <si>
    <t xml:space="preserve">fdif</t>
  </si>
  <si>
    <t xml:space="preserve">fdif_e</t>
  </si>
  <si>
    <t xml:space="preserve">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</si>
  <si>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</si>
  <si>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</si>
  <si>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</si>
  <si>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</si>
  <si>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</si>
  <si>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 xml:space="preserve">Комментарий</t>
  </si>
  <si>
    <t xml:space="preserve">Дифференциация, да/нет</t>
  </si>
  <si>
    <t xml:space="preserve">Значение</t>
  </si>
  <si>
    <t xml:space="preserve">Тарифы</t>
  </si>
  <si>
    <t xml:space="preserve">Прочие показатели</t>
  </si>
  <si>
    <t xml:space="preserve">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</si>
  <si>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</si>
  <si>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</si>
  <si>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</si>
  <si>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</si>
  <si>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</si>
  <si>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</si>
  <si>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</si>
  <si>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</si>
  <si>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</si>
  <si>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</si>
  <si>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 xml:space="preserve">Информация</t>
  </si>
  <si>
    <t xml:space="preserve">Субъект Российской Федерации</t>
  </si>
  <si>
    <t xml:space="preserve">Указывается наименование субъекта Российской Федерации</t>
  </si>
  <si>
    <t xml:space="preserve">x</t>
  </si>
  <si>
    <t xml:space="preserve">2.2</t>
  </si>
  <si>
    <t xml:space="preserve">идентификационный номер налогоплательщика (ИНН)</t>
  </si>
  <si>
    <t xml:space="preserve">Указывается идентификационный номер налогоплательщика.</t>
  </si>
  <si>
    <t xml:space="preserve">2.3</t>
  </si>
  <si>
    <t xml:space="preserve">код причины постановки на учет (КПП)</t>
  </si>
  <si>
    <t xml:space="preserve">Указывается код причины постановки на учет (при наличии).</t>
  </si>
  <si>
    <t xml:space="preserve">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</si>
  <si>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</si>
  <si>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</si>
  <si>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</si>
  <si>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</si>
  <si>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</si>
  <si>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</si>
  <si>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</si>
  <si>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</si>
  <si>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</si>
  <si>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</si>
  <si>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 xml:space="preserve">3.1</t>
  </si>
  <si>
    <t xml:space="preserve">фамилия, имя и отчество должностного лица</t>
  </si>
  <si>
    <t xml:space="preserve">3.1.1</t>
  </si>
  <si>
    <t xml:space="preserve">фамилия должностного лица</t>
  </si>
  <si>
    <t xml:space="preserve">3.1.2</t>
  </si>
  <si>
    <t xml:space="preserve">имя должностного лица</t>
  </si>
  <si>
    <t xml:space="preserve">3.1.3</t>
  </si>
  <si>
    <t xml:space="preserve">отчество должностного лица</t>
  </si>
  <si>
    <t xml:space="preserve">3.2</t>
  </si>
  <si>
    <t xml:space="preserve">должность</t>
  </si>
  <si>
    <t xml:space="preserve">3.3</t>
  </si>
  <si>
    <t xml:space="preserve">контактный телефон</t>
  </si>
  <si>
    <t xml:space="preserve">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</si>
  <si>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</si>
  <si>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</si>
  <si>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</si>
  <si>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</si>
  <si>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</si>
  <si>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</si>
  <si>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</si>
  <si>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</si>
  <si>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</si>
  <si>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</si>
  <si>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</si>
  <si>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</si>
  <si>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</si>
  <si>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</si>
  <si>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</si>
  <si>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 xml:space="preserve">BLOCK_MAIN_INFO_OBJECT_HEAT</t>
  </si>
  <si>
    <t xml:space="preserve">BLOCK_MAIN_INFO_OBJECT_VOTV</t>
  </si>
  <si>
    <t xml:space="preserve">BLOCK_MAIN_INFO_OBJECT_COLDVSNA</t>
  </si>
  <si>
    <t xml:space="preserve">BLOCK_MAIN_INFO_OBJECT_HOTVSNA</t>
  </si>
  <si>
    <t xml:space="preserve">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</si>
  <si>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</si>
  <si>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</si>
  <si>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 xml:space="preserve">Теплоэлектростанции</t>
  </si>
  <si>
    <t xml:space="preserve">Тепловые станции</t>
  </si>
  <si>
    <t xml:space="preserve">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</si>
  <si>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</si>
  <si>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</si>
  <si>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</si>
  <si>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</si>
  <si>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</si>
  <si>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</si>
  <si>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</si>
  <si>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</si>
  <si>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</si>
  <si>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</si>
  <si>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</si>
  <si>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</si>
  <si>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</si>
  <si>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</si>
  <si>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 xml:space="preserve">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</si>
  <si>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</si>
  <si>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</si>
  <si>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</si>
  <si>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</si>
  <si>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 xml:space="preserve">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</si>
  <si>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</si>
  <si>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</si>
  <si>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</si>
  <si>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</si>
  <si>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</si>
  <si>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</si>
  <si>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</si>
  <si>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</si>
  <si>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</si>
  <si>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</si>
  <si>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</si>
  <si>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</si>
  <si>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 xml:space="preserve">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</si>
  <si>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</si>
  <si>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</si>
  <si>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</si>
  <si>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</si>
  <si>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</si>
  <si>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</si>
  <si>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</si>
  <si>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</si>
  <si>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 xml:space="preserve">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</si>
  <si>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</si>
  <si>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</si>
  <si>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 xml:space="preserve">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</si>
  <si>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</si>
  <si>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</si>
  <si>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 xml:space="preserve">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</si>
  <si>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</si>
  <si>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</si>
  <si>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</si>
  <si>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</si>
  <si>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</si>
  <si>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</si>
  <si>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</si>
  <si>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PERIOD_FROM_FIRST_ROW</t>
  </si>
  <si>
    <t xml:space="preserve">FLAG_BLOCK_COLUMN</t>
  </si>
  <si>
    <t xml:space="preserve">SPR</t>
  </si>
  <si>
    <t xml:space="preserve">FLAG_START_DATE</t>
  </si>
  <si>
    <t xml:space="preserve">FLAG_ETC_PERIOD</t>
  </si>
  <si>
    <t xml:space="preserve">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</si>
  <si>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</si>
  <si>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</si>
  <si>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</si>
  <si>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</si>
  <si>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 xml:space="preserve">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</si>
  <si>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</si>
  <si>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</si>
  <si>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</si>
  <si>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</si>
  <si>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</si>
  <si>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</si>
  <si>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</si>
  <si>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</si>
  <si>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</si>
  <si>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 xml:space="preserve">NUM_NTAR</t>
  </si>
  <si>
    <t xml:space="preserve">NUM_TER</t>
  </si>
  <si>
    <t xml:space="preserve">NUM_CS</t>
  </si>
  <si>
    <t xml:space="preserve">NUM_IST_TE</t>
  </si>
  <si>
    <t xml:space="preserve">NUM_SCHEME</t>
  </si>
  <si>
    <t xml:space="preserve">NUM_GC</t>
  </si>
  <si>
    <t xml:space="preserve">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</si>
  <si>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</si>
  <si>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</si>
  <si>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</si>
  <si>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</si>
  <si>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</si>
  <si>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</si>
  <si>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</si>
  <si>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</si>
  <si>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</si>
  <si>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</si>
  <si>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</si>
  <si>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</si>
  <si>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</si>
  <si>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</si>
  <si>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</si>
  <si>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</si>
  <si>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</si>
  <si>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 xml:space="preserve">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</si>
  <si>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</si>
  <si>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</si>
  <si>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</si>
  <si>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</si>
  <si>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</si>
  <si>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</si>
  <si>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</si>
  <si>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 xml:space="preserve">FLAG</t>
  </si>
  <si>
    <t xml:space="preserve">LOAD</t>
  </si>
  <si>
    <t xml:space="preserve">NETS</t>
  </si>
  <si>
    <t xml:space="preserve">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</si>
  <si>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</si>
  <si>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</si>
  <si>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</si>
  <si>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</si>
  <si>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</si>
  <si>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</si>
  <si>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</si>
  <si>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</si>
  <si>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</si>
  <si>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</si>
  <si>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</si>
  <si>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</si>
  <si>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</si>
  <si>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</si>
  <si>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</si>
  <si>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</si>
  <si>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</si>
  <si>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 xml:space="preserve">NUM_FLAG_DIFF</t>
  </si>
  <si>
    <t xml:space="preserve">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</si>
  <si>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</si>
  <si>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</si>
  <si>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</si>
  <si>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 xml:space="preserve">pt_ist_te_9</t>
  </si>
  <si>
    <t xml:space="preserve">pt_ist_te_10</t>
  </si>
  <si>
    <t xml:space="preserve">pt_ist_te_11</t>
  </si>
  <si>
    <t xml:space="preserve">pt_ist_te_12</t>
  </si>
  <si>
    <t xml:space="preserve">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</si>
  <si>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</si>
  <si>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</si>
  <si>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</si>
  <si>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</si>
  <si>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</si>
  <si>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</si>
  <si>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 xml:space="preserve">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</si>
  <si>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</si>
  <si>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</si>
  <si>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</si>
  <si>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</si>
  <si>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</si>
  <si>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</si>
  <si>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</si>
  <si>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</si>
  <si>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 xml:space="preserve">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</si>
  <si>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</si>
  <si>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</si>
  <si>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</si>
  <si>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</si>
  <si>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 xml:space="preserve">pt_ist_te_17</t>
  </si>
  <si>
    <t xml:space="preserve">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</si>
  <si>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</si>
  <si>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</si>
  <si>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</si>
  <si>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</si>
  <si>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</si>
  <si>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</si>
  <si>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</si>
  <si>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 xml:space="preserve">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</si>
  <si>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</si>
  <si>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</si>
  <si>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</si>
  <si>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</si>
  <si>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</si>
  <si>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</si>
  <si>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 xml:space="preserve">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</si>
  <si>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</si>
  <si>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</si>
  <si>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</si>
  <si>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</si>
  <si>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</si>
  <si>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 xml:space="preserve">pt_ist_te_14</t>
  </si>
  <si>
    <t xml:space="preserve">pt_ist_te_15</t>
  </si>
  <si>
    <t xml:space="preserve">pt_ist_te_16</t>
  </si>
  <si>
    <t xml:space="preserve">vt</t>
  </si>
  <si>
    <t xml:space="preserve">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</si>
  <si>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</si>
  <si>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</si>
  <si>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 xml:space="preserve">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</si>
  <si>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</si>
  <si>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</si>
  <si>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</si>
  <si>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</si>
  <si>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</si>
  <si>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</si>
  <si>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 xml:space="preserve">Гкал/ч</t>
  </si>
  <si>
    <t xml:space="preserve">Указывается установленная тепловая мощность для источника тепловой энергии.</t>
  </si>
  <si>
    <t xml:space="preserve">%</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</si>
  <si>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</si>
  <si>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</si>
  <si>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</si>
  <si>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</si>
  <si>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</si>
  <si>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</si>
  <si>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</si>
  <si>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</si>
  <si>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 xml:space="preserve">p</t>
  </si>
  <si>
    <t xml:space="preserve">HEAT_P1</t>
  </si>
  <si>
    <t xml:space="preserve">Добавить вид топлива</t>
  </si>
  <si>
    <t xml:space="preserve">HOTVSNA_P1</t>
  </si>
  <si>
    <t xml:space="preserve">руб.</t>
  </si>
  <si>
    <t xml:space="preserve">тыс. кВт·ч</t>
  </si>
  <si>
    <t xml:space="preserve">HEAT_P6</t>
  </si>
  <si>
    <t xml:space="preserve">NOT_HOTVSNA</t>
  </si>
  <si>
    <t xml:space="preserve">отсутствует</t>
  </si>
  <si>
    <t xml:space="preserve">NOT_HEAT_P1</t>
  </si>
  <si>
    <t xml:space="preserve">Добавить прочие расходы</t>
  </si>
  <si>
    <t xml:space="preserve">HEAT_P2</t>
  </si>
  <si>
    <t xml:space="preserve">NOT_HEAT_P2</t>
  </si>
  <si>
    <t xml:space="preserve">COLDVSNA_P1</t>
  </si>
  <si>
    <t xml:space="preserve">тыс. куб. м</t>
  </si>
  <si>
    <t xml:space="preserve">HOTVSNA_P2</t>
  </si>
  <si>
    <t xml:space="preserve">тыс. Гкал</t>
  </si>
  <si>
    <t xml:space="preserve">VOTV_P1</t>
  </si>
  <si>
    <t xml:space="preserve">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</si>
  <si>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</si>
  <si>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</si>
  <si>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 xml:space="preserve">hyp</t>
  </si>
  <si>
    <t xml:space="preserve">тыс. Гкал/год</t>
  </si>
  <si>
    <t xml:space="preserve">человек</t>
  </si>
  <si>
    <t xml:space="preserve">HEAT_P4</t>
  </si>
  <si>
    <t xml:space="preserve">VSNA</t>
  </si>
  <si>
    <t xml:space="preserve">тыс. кВт·ч на тыс. куб. м</t>
  </si>
  <si>
    <t xml:space="preserve">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</si>
  <si>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</si>
  <si>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</si>
  <si>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 xml:space="preserve">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</si>
  <si>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</si>
  <si>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</si>
  <si>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</si>
  <si>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 xml:space="preserve">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</si>
  <si>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</si>
  <si>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</si>
  <si>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</si>
  <si>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</si>
  <si>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</si>
  <si>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</si>
  <si>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</si>
  <si>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 xml:space="preserve">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</si>
  <si>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</si>
  <si>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</si>
  <si>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 xml:space="preserve">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</si>
  <si>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</si>
  <si>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</si>
  <si>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L.HEAT.POWER.DYN</t>
  </si>
  <si>
    <t xml:space="preserve">Установленная тепловая мощность объекта основных фондов</t>
  </si>
  <si>
    <t xml:space="preserve">ЧСЛ</t>
  </si>
  <si>
    <t xml:space="preserve">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</si>
  <si>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</si>
  <si>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 xml:space="preserve">ВЭД</t>
  </si>
  <si>
    <t xml:space="preserve">РАЙОН</t>
  </si>
  <si>
    <t xml:space="preserve">НМОБ</t>
  </si>
  <si>
    <t xml:space="preserve">НОМЕР2</t>
  </si>
  <si>
    <t xml:space="preserve">ДЕТ</t>
  </si>
  <si>
    <t xml:space="preserve">L.ACC.STATEMENTS</t>
  </si>
  <si>
    <t xml:space="preserve">Годовая бухгалтерская (финансовая) отчетность</t>
  </si>
  <si>
    <t xml:space="preserve">СТР</t>
  </si>
  <si>
    <t xml:space="preserve">Не определено</t>
  </si>
  <si>
    <t xml:space="preserve">Годовая бухгалтерская (финансовая) отчетность, включая бухгалтерский баланс и приложения к нему</t>
  </si>
  <si>
    <t xml:space="preserve">p3</t>
  </si>
  <si>
    <t xml:space="preserve">Указывается ссылка на документ, предварительно загруженный в хранилище файлов ФГИС ЕИАС.</t>
  </si>
  <si>
    <t xml:space="preserve">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</si>
  <si>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</si>
  <si>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</si>
  <si>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</si>
  <si>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 xml:space="preserve">2.0</t>
  </si>
  <si>
    <t xml:space="preserve">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</si>
  <si>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</si>
  <si>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</si>
  <si>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 xml:space="preserve">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</si>
  <si>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</si>
  <si>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</si>
  <si>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 xml:space="preserve">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</si>
  <si>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</si>
  <si>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</si>
  <si>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 xml:space="preserve">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</si>
  <si>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</si>
  <si>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</si>
  <si>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</si>
  <si>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L.RELEASED.BY.PU</t>
  </si>
  <si>
    <t xml:space="preserve">Объем тепловой энергии по приборам учета </t>
  </si>
  <si>
    <t xml:space="preserve">6.1</t>
  </si>
  <si>
    <t xml:space="preserve">по приборам учета </t>
  </si>
  <si>
    <t xml:space="preserve">L.RELEASED.BY.CALC</t>
  </si>
  <si>
    <t xml:space="preserve">Объем тепловой энергии расчетным путем </t>
  </si>
  <si>
    <t xml:space="preserve">6.2</t>
  </si>
  <si>
    <t xml:space="preserve">расчетным путем </t>
  </si>
  <si>
    <t xml:space="preserve">L.RELEASED.BY.NORMATIVE</t>
  </si>
  <si>
    <t xml:space="preserve">Объем тепловой энергии по нормативам потребления</t>
  </si>
  <si>
    <t xml:space="preserve">6.3</t>
  </si>
  <si>
    <t xml:space="preserve">по нормативам потребления коммунальных услуг и нормативам потребления коммунальных ресурсов</t>
  </si>
  <si>
    <t xml:space="preserve">L.VOLUME.LOSSES.PLAN</t>
  </si>
  <si>
    <t xml:space="preserve">Плановый объем потерь при передаче тепловой энергии</t>
  </si>
  <si>
    <t xml:space="preserve">тыс. Гкал/год </t>
  </si>
  <si>
    <t xml:space="preserve">L.VOLUME.LOSSES.FACT</t>
  </si>
  <si>
    <t xml:space="preserve">Фактический объем потерь при передаче тепловой энергии</t>
  </si>
  <si>
    <t xml:space="preserve">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</si>
  <si>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</si>
  <si>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</si>
  <si>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</si>
  <si>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</si>
  <si>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</si>
  <si>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</si>
  <si>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</si>
  <si>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</si>
  <si>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</si>
  <si>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 xml:space="preserve">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</si>
  <si>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</si>
  <si>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</si>
  <si>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</si>
  <si>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</si>
  <si>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</si>
  <si>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</si>
  <si>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 xml:space="preserve">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</si>
  <si>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</si>
  <si>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</si>
  <si>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 xml:space="preserve">L.STANDARDS.OTHER</t>
  </si>
  <si>
    <t xml:space="preserve">Прочие стандарты</t>
  </si>
  <si>
    <t xml:space="preserve">×</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</si>
  <si>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</si>
  <si>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</si>
  <si>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</si>
  <si>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</si>
  <si>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</si>
  <si>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 xml:space="preserve">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</si>
  <si>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</si>
  <si>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</si>
  <si>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 xml:space="preserve">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</si>
  <si>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</si>
  <si>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</si>
  <si>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</si>
  <si>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</si>
  <si>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</si>
  <si>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</si>
  <si>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</si>
  <si>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</si>
  <si>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</si>
  <si>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</si>
  <si>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 xml:space="preserve">2.1</t>
  </si>
  <si>
    <t xml:space="preserve">производственные расходы, в том числе:</t>
  </si>
  <si>
    <t xml:space="preserve">Указывается общая сумма производственных расходов.</t>
  </si>
  <si>
    <t xml:space="preserve">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</si>
  <si>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</si>
  <si>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</si>
  <si>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 xml:space="preserve">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</si>
  <si>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</si>
  <si>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</si>
  <si>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</si>
  <si>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 xml:space="preserve">2.2.1</t>
  </si>
  <si>
    <t xml:space="preserve">расходы на текущий ремонт</t>
  </si>
  <si>
    <t xml:space="preserve">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</si>
  <si>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</si>
  <si>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</si>
  <si>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</si>
  <si>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 xml:space="preserve">2.3.1</t>
  </si>
  <si>
    <t xml:space="preserve">расходы на оплату труда</t>
  </si>
  <si>
    <t xml:space="preserve">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</si>
  <si>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</si>
  <si>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 xml:space="preserve">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</si>
  <si>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</si>
  <si>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</si>
  <si>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 xml:space="preserve">2.4.1</t>
  </si>
  <si>
    <t xml:space="preserve">расходы на амортизацию основных средств</t>
  </si>
  <si>
    <t xml:space="preserve">2.4.2</t>
  </si>
  <si>
    <t xml:space="preserve">расходы на амортизацию нематериальных активов</t>
  </si>
  <si>
    <t xml:space="preserve">2.5</t>
  </si>
  <si>
    <t xml:space="preserve">расходы на арендную плату</t>
  </si>
  <si>
    <t xml:space="preserve">2.6</t>
  </si>
  <si>
    <t xml:space="preserve">расходы на лизинговые платежи</t>
  </si>
  <si>
    <t xml:space="preserve">2.7</t>
  </si>
  <si>
    <t xml:space="preserve"> расходы на концессионную плату</t>
  </si>
  <si>
    <t xml:space="preserve">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</si>
  <si>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</si>
  <si>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</si>
  <si>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</si>
  <si>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 xml:space="preserve">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</si>
  <si>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</si>
  <si>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</si>
  <si>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</si>
  <si>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</si>
  <si>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</si>
  <si>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</si>
  <si>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</si>
  <si>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 xml:space="preserve">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</si>
  <si>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</si>
  <si>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</si>
  <si>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 xml:space="preserve">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</si>
  <si>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</si>
  <si>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</si>
  <si>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 xml:space="preserve">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</si>
  <si>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</si>
  <si>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</si>
  <si>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 xml:space="preserve">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</si>
  <si>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</si>
  <si>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</si>
  <si>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 xml:space="preserve">-</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</si>
  <si>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</si>
  <si>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</si>
  <si>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</si>
  <si>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</si>
  <si>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</si>
  <si>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</si>
  <si>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</si>
  <si>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</si>
  <si>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</si>
  <si>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</si>
  <si>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</si>
  <si>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</si>
  <si>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</si>
  <si>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</si>
  <si>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</si>
  <si>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</si>
  <si>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</si>
  <si>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</si>
  <si>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</si>
  <si>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</si>
  <si>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</si>
  <si>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</si>
  <si>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</si>
  <si>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</si>
  <si>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</si>
  <si>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</si>
  <si>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</si>
  <si>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</si>
  <si>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</si>
  <si>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 xml:space="preserve">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</si>
  <si>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</si>
  <si>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</si>
  <si>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 xml:space="preserve">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</si>
  <si>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</si>
  <si>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</si>
  <si>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</si>
  <si>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</si>
  <si>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 xml:space="preserve">&lt;1&gt;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</si>
  <si>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</si>
  <si>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</si>
  <si>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</si>
  <si>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 xml:space="preserve">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</si>
  <si>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</si>
  <si>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</si>
  <si>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</si>
  <si>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</si>
  <si>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</si>
  <si>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</si>
  <si>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</si>
  <si>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</si>
  <si>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</si>
  <si>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 xml:space="preserve">шт.</t>
  </si>
  <si>
    <t xml:space="preserve">средняя продолжительность устранения превышения разрешенных отклонений значений параметров</t>
  </si>
  <si>
    <t xml:space="preserve">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</si>
  <si>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</si>
  <si>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</si>
  <si>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</si>
  <si>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</si>
  <si>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</si>
  <si>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</si>
  <si>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</si>
  <si>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</si>
  <si>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</si>
  <si>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 xml:space="preserve">4.2.1</t>
  </si>
  <si>
    <t xml:space="preserve">удельный расход топлива на производство единицы тепловой энергии, отпускаемой с коллекторов источников тепловой энергии</t>
  </si>
  <si>
    <t xml:space="preserve">т.у.т./Гкал</t>
  </si>
  <si>
    <t xml:space="preserve">4.2.2</t>
  </si>
  <si>
    <t xml:space="preserve">отношение величины технологических потерь к материальной характеристике тепловой сети</t>
  </si>
  <si>
    <t xml:space="preserve">4.2.1.1</t>
  </si>
  <si>
    <t xml:space="preserve">при передаче тепловой энергии</t>
  </si>
  <si>
    <t xml:space="preserve">Гкал/кв.м</t>
  </si>
  <si>
    <t xml:space="preserve">4.2.1.2</t>
  </si>
  <si>
    <t xml:space="preserve">при передаче теплоносителя</t>
  </si>
  <si>
    <t xml:space="preserve">тонн/кв.м</t>
  </si>
  <si>
    <t xml:space="preserve">4.2.3</t>
  </si>
  <si>
    <t xml:space="preserve">величина технологических потерь</t>
  </si>
  <si>
    <t xml:space="preserve">4.2.3.1</t>
  </si>
  <si>
    <t xml:space="preserve">Гкал/год</t>
  </si>
  <si>
    <t xml:space="preserve">4.2.3.2</t>
  </si>
  <si>
    <t xml:space="preserve">при передаче теплоносителя по тепловым сетям</t>
  </si>
  <si>
    <t xml:space="preserve">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</si>
  <si>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</si>
  <si>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</si>
  <si>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</si>
  <si>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</si>
  <si>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</si>
  <si>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</si>
  <si>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 xml:space="preserve">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</si>
  <si>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</si>
  <si>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</si>
  <si>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</si>
  <si>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</si>
  <si>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 xml:space="preserve">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</si>
  <si>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</si>
  <si>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</si>
  <si>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 xml:space="preserve">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</si>
  <si>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</si>
  <si>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</si>
  <si>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</si>
  <si>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</si>
  <si>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</si>
  <si>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</si>
  <si>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</si>
  <si>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 xml:space="preserve">мутность</t>
  </si>
  <si>
    <t xml:space="preserve">цветность</t>
  </si>
  <si>
    <t xml:space="preserve">хлор остаточный общий, в том числе:</t>
  </si>
  <si>
    <t xml:space="preserve">4.3.1</t>
  </si>
  <si>
    <t xml:space="preserve">хлор остаточный связанный</t>
  </si>
  <si>
    <t xml:space="preserve">4.3.2</t>
  </si>
  <si>
    <t xml:space="preserve">хлор остаточный свободный</t>
  </si>
  <si>
    <t xml:space="preserve">4.4</t>
  </si>
  <si>
    <t xml:space="preserve">общие колиформные бактерии</t>
  </si>
  <si>
    <t xml:space="preserve">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</si>
  <si>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</si>
  <si>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</si>
  <si>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 xml:space="preserve">5.2</t>
  </si>
  <si>
    <t xml:space="preserve">5.3</t>
  </si>
  <si>
    <t xml:space="preserve">5.3.1</t>
  </si>
  <si>
    <t xml:space="preserve">5.3.2</t>
  </si>
  <si>
    <t xml:space="preserve">5.4</t>
  </si>
  <si>
    <t xml:space="preserve">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</si>
  <si>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</si>
  <si>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</si>
  <si>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</si>
  <si>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</si>
  <si>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 xml:space="preserve">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</si>
  <si>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</si>
  <si>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 xml:space="preserve">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</si>
  <si>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</si>
  <si>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</si>
  <si>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</si>
  <si>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</si>
  <si>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</si>
  <si>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</si>
  <si>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</si>
  <si>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</si>
  <si>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</si>
  <si>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</si>
  <si>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</si>
  <si>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</si>
  <si>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 xml:space="preserve">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</si>
  <si>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</si>
  <si>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</si>
  <si>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</si>
  <si>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</si>
  <si>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</si>
  <si>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</si>
  <si>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</si>
  <si>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 xml:space="preserve">БПК5</t>
  </si>
  <si>
    <t xml:space="preserve">аммоний-ион</t>
  </si>
  <si>
    <t xml:space="preserve">нитрит-анион</t>
  </si>
  <si>
    <t xml:space="preserve">3.5</t>
  </si>
  <si>
    <t xml:space="preserve">фосфаты (по Р)</t>
  </si>
  <si>
    <t xml:space="preserve">3.6</t>
  </si>
  <si>
    <t xml:space="preserve">нефтепродукты</t>
  </si>
  <si>
    <t xml:space="preserve">3.7</t>
  </si>
  <si>
    <t xml:space="preserve">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</si>
  <si>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</si>
  <si>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</si>
  <si>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 xml:space="preserve">4.6</t>
  </si>
  <si>
    <t xml:space="preserve">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</si>
  <si>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</si>
  <si>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</si>
  <si>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</si>
  <si>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</si>
  <si>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 xml:space="preserve">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</si>
  <si>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</si>
  <si>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</si>
  <si>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</si>
  <si>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</si>
  <si>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</si>
  <si>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</si>
  <si>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</si>
  <si>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</si>
  <si>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</si>
  <si>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</si>
  <si>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</si>
  <si>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</si>
  <si>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</si>
  <si>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</si>
  <si>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</si>
  <si>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</si>
  <si>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</si>
  <si>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</si>
  <si>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 xml:space="preserve">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</si>
  <si>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</si>
  <si>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</si>
  <si>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</si>
  <si>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 xml:space="preserve">3.0</t>
  </si>
  <si>
    <t xml:space="preserve">Сведения об основаниях ограничения подачи тепловой энергии</t>
  </si>
  <si>
    <t xml:space="preserve">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</si>
  <si>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</si>
  <si>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</si>
  <si>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 xml:space="preserve">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</si>
  <si>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</si>
  <si>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</si>
  <si>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</si>
  <si>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</si>
  <si>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</si>
  <si>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</si>
  <si>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</si>
  <si>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</si>
  <si>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</si>
  <si>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</si>
  <si>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</si>
  <si>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</si>
  <si>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</si>
  <si>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</si>
  <si>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</si>
  <si>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</si>
  <si>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</si>
  <si>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 xml:space="preserve">Вид</t>
  </si>
  <si>
    <t xml:space="preserve">Номер</t>
  </si>
  <si>
    <t xml:space="preserve">Дата принятия</t>
  </si>
  <si>
    <t xml:space="preserve">Тип</t>
  </si>
  <si>
    <t xml:space="preserve">Наличие</t>
  </si>
  <si>
    <t xml:space="preserve">Реквизиты концессионного(-ых) соглашения(-ий)</t>
  </si>
  <si>
    <t xml:space="preserve">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</si>
  <si>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</si>
  <si>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</si>
  <si>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</si>
  <si>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</si>
  <si>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 xml:space="preserve">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</si>
  <si>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</si>
  <si>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</si>
  <si>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</si>
  <si>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</si>
  <si>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</si>
  <si>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</si>
  <si>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</si>
  <si>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</si>
  <si>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</si>
  <si>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 xml:space="preserve">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</si>
  <si>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</si>
  <si>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</si>
  <si>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</si>
  <si>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</si>
  <si>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</si>
  <si>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 xml:space="preserve">План</t>
  </si>
  <si>
    <t xml:space="preserve">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</si>
  <si>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</si>
  <si>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</si>
  <si>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</si>
  <si>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</si>
  <si>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</si>
  <si>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</si>
  <si>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 xml:space="preserve">месяц</t>
  </si>
  <si>
    <t xml:space="preserve">год</t>
  </si>
  <si>
    <r>
      <rPr>
        <vertAlign val="superscript"/>
        <sz val="9"/>
        <rFont val="Tahoma"/>
        <family val="2"/>
        <charset val="204"/>
      </rPr>
      <t xml:space="preserve">1</t>
    </r>
    <r>
      <rPr>
        <sz val="9"/>
        <rFont val="Tahoma"/>
        <family val="2"/>
        <charset val="204"/>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</si>
  <si>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</si>
  <si>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</si>
  <si>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 xml:space="preserve">Всего</t>
  </si>
  <si>
    <t xml:space="preserve">I</t>
  </si>
  <si>
    <t xml:space="preserve">Расходы на мероприятия инвестиционной программы</t>
  </si>
  <si>
    <t xml:space="preserve">Собственные средства</t>
  </si>
  <si>
    <t xml:space="preserve">1.1</t>
  </si>
  <si>
    <t xml:space="preserve">Амортизационные отчисления за исключением переоценки основных средств и нематериальных активов</t>
  </si>
  <si>
    <t xml:space="preserve">1.2</t>
  </si>
  <si>
    <t xml:space="preserve">Амортизационные отчисления в результате переоценки основных средств и нематериальных активов</t>
  </si>
  <si>
    <t xml:space="preserve">1.3</t>
  </si>
  <si>
    <t xml:space="preserve">Капитальные вложения (инвестиции), финансируемые за счет нормативной прибыли, учитываемой в необходимой валовой выручке</t>
  </si>
  <si>
    <t xml:space="preserve">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</si>
  <si>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</si>
  <si>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</si>
  <si>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</si>
  <si>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</si>
  <si>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</si>
  <si>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</si>
  <si>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</si>
  <si>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1.8</t>
  </si>
  <si>
    <t xml:space="preserve">Экономия средств, достигнутая регулируемой организацией в результате снижения расходов</t>
  </si>
  <si>
    <t xml:space="preserve">1.9</t>
  </si>
  <si>
    <t xml:space="preserve">Средства, полученные за счет платы за подключение (технологическое присоединение)</t>
  </si>
  <si>
    <t xml:space="preserve">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</si>
  <si>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</si>
  <si>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 xml:space="preserve">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</si>
  <si>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</si>
  <si>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 xml:space="preserve">1.12</t>
  </si>
  <si>
    <t xml:space="preserve">Прочие собственные средства</t>
  </si>
  <si>
    <t xml:space="preserve">Привлеченные средства</t>
  </si>
  <si>
    <t xml:space="preserve">Займы</t>
  </si>
  <si>
    <t xml:space="preserve">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</si>
  <si>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</si>
  <si>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</si>
  <si>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</si>
  <si>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</si>
  <si>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</si>
  <si>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</si>
  <si>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 xml:space="preserve">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</si>
  <si>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</si>
  <si>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</si>
  <si>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 xml:space="preserve">1.1.1</t>
  </si>
  <si>
    <t xml:space="preserve">Финансируемые за счет нормативной прибыли, учитываемой в необходимой валовой выручке</t>
  </si>
  <si>
    <t xml:space="preserve">1.1.2</t>
  </si>
  <si>
    <t xml:space="preserve">Амортизационные отчисления</t>
  </si>
  <si>
    <t xml:space="preserve">1.1.3</t>
  </si>
  <si>
    <t xml:space="preserve">Иные собственные средства</t>
  </si>
  <si>
    <t xml:space="preserve">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</si>
  <si>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</si>
  <si>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 xml:space="preserve">1.2.1</t>
  </si>
  <si>
    <t xml:space="preserve">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</si>
  <si>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</si>
  <si>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</si>
  <si>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 xml:space="preserve">2.1.3</t>
  </si>
  <si>
    <t xml:space="preserve">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</si>
  <si>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</si>
  <si>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</si>
  <si>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</si>
  <si>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</si>
  <si>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</si>
  <si>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</si>
  <si>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</si>
  <si>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</si>
  <si>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</si>
  <si>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</si>
  <si>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</si>
  <si>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</si>
  <si>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</si>
  <si>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</si>
  <si>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</si>
  <si>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</si>
  <si>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</si>
  <si>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</si>
  <si>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</si>
  <si>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</si>
  <si>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</si>
  <si>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</si>
  <si>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</si>
  <si>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</si>
  <si>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</si>
  <si>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</si>
  <si>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</si>
  <si>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</si>
  <si>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</si>
  <si>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</si>
  <si>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</si>
  <si>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</si>
  <si>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</si>
  <si>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</si>
  <si>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</si>
  <si>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</si>
  <si>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</si>
  <si>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</si>
  <si>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</si>
  <si>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</si>
  <si>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 xml:space="preserve">кВт*ч/куб.м</t>
  </si>
  <si>
    <t xml:space="preserve">план</t>
  </si>
  <si>
    <t xml:space="preserve">факт</t>
  </si>
  <si>
    <t xml:space="preserve">ед</t>
  </si>
  <si>
    <t xml:space="preserve">5.0</t>
  </si>
  <si>
    <t xml:space="preserve">Территория 1</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</si>
  <si>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</si>
  <si>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</si>
  <si>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</si>
  <si>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</si>
  <si>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</si>
  <si>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</si>
  <si>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</si>
  <si>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</si>
  <si>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</si>
  <si>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</si>
  <si>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</si>
  <si>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</si>
  <si>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</si>
  <si>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</si>
  <si>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</si>
  <si>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</si>
  <si>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</si>
  <si>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</si>
  <si>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</si>
  <si>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</si>
  <si>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</si>
  <si>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</si>
  <si>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 xml:space="preserve">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</si>
  <si>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</si>
  <si>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 xml:space="preserve">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</si>
  <si>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</si>
  <si>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</si>
  <si>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 xml:space="preserve">p1</t>
  </si>
  <si>
    <t xml:space="preserve">Добавить период</t>
  </si>
  <si>
    <t xml:space="preserve">p2</t>
  </si>
  <si>
    <t xml:space="preserve">Период действия тарифов</t>
  </si>
  <si>
    <t xml:space="preserve">с</t>
  </si>
  <si>
    <t xml:space="preserve">по</t>
  </si>
  <si>
    <t xml:space="preserve">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</si>
  <si>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</si>
  <si>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</si>
  <si>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 xml:space="preserve">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</si>
  <si>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</si>
  <si>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</si>
  <si>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</si>
  <si>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</si>
  <si>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</si>
  <si>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</si>
  <si>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</si>
  <si>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</si>
  <si>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 xml:space="preserve">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</si>
  <si>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</si>
  <si>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 xml:space="preserve">REGION</t>
  </si>
  <si>
    <t xml:space="preserve">year_list1</t>
  </si>
  <si>
    <t xml:space="preserve">year_list</t>
  </si>
  <si>
    <t xml:space="preserve">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</si>
  <si>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</si>
  <si>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</si>
  <si>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</si>
  <si>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</si>
  <si>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</si>
  <si>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</si>
  <si>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</si>
  <si>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</si>
  <si>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</si>
  <si>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</si>
  <si>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</si>
  <si>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</si>
  <si>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</si>
  <si>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</si>
  <si>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</si>
  <si>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</si>
  <si>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</si>
  <si>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</si>
  <si>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</si>
  <si>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 xml:space="preserve">name_rates_4</t>
  </si>
  <si>
    <t xml:space="preserve">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</si>
  <si>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</si>
  <si>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</si>
  <si>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</si>
  <si>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</si>
  <si>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</si>
  <si>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</si>
  <si>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</si>
  <si>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</si>
  <si>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</si>
  <si>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 xml:space="preserve">List_H</t>
  </si>
  <si>
    <t xml:space="preserve">List_M</t>
  </si>
  <si>
    <t xml:space="preserve">kind_of_org_type</t>
  </si>
  <si>
    <t xml:space="preserve">Виды топлива
/kind_of_fuels/</t>
  </si>
  <si>
    <t xml:space="preserve">YEAR_IP_LIST</t>
  </si>
  <si>
    <t xml:space="preserve">MONTH_IP_LIST</t>
  </si>
  <si>
    <t xml:space="preserve">COLDVSNA/HOTVSNA</t>
  </si>
  <si>
    <t xml:space="preserve">OTKO</t>
  </si>
  <si>
    <t xml:space="preserve">Алтайский край</t>
  </si>
  <si>
    <t xml:space="preserve">январь</t>
  </si>
  <si>
    <t xml:space="preserve">I квартал</t>
  </si>
  <si>
    <t xml:space="preserve">На официальном сайте организации</t>
  </si>
  <si>
    <t xml:space="preserve">тыс.куб.м/сутки</t>
  </si>
  <si>
    <t xml:space="preserve">метод экономически обоснованных расходов (затрат)</t>
  </si>
  <si>
    <t xml:space="preserve">Передача+Сбыт</t>
  </si>
  <si>
    <t xml:space="preserve">вода</t>
  </si>
  <si>
    <t xml:space="preserve">без дифференциации</t>
  </si>
  <si>
    <t xml:space="preserve">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</si>
  <si>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</si>
  <si>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</si>
  <si>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</si>
  <si>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</si>
  <si>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</si>
  <si>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</si>
  <si>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</si>
  <si>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 xml:space="preserve">Вода</t>
  </si>
  <si>
    <t xml:space="preserve">Газ природный по регулируемой цене</t>
  </si>
  <si>
    <t xml:space="preserve">Конкурс</t>
  </si>
  <si>
    <t xml:space="preserve">объемы потребления воды абонентами</t>
  </si>
  <si>
    <t xml:space="preserve">40 мм и менее</t>
  </si>
  <si>
    <t xml:space="preserve">00</t>
  </si>
  <si>
    <t xml:space="preserve">Регулируемая организация</t>
  </si>
  <si>
    <t xml:space="preserve">газ природный по регулируемой цене</t>
  </si>
  <si>
    <t xml:space="preserve">тыс м3</t>
  </si>
  <si>
    <t xml:space="preserve">Январь</t>
  </si>
  <si>
    <t xml:space="preserve">Амурская область</t>
  </si>
  <si>
    <t xml:space="preserve">февраль</t>
  </si>
  <si>
    <t xml:space="preserve">На сайте регулирующего органа</t>
  </si>
  <si>
    <t xml:space="preserve">УСН</t>
  </si>
  <si>
    <t xml:space="preserve">метод индексации установленных тарифов</t>
  </si>
  <si>
    <t xml:space="preserve">Передача</t>
  </si>
  <si>
    <t xml:space="preserve">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</si>
  <si>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</si>
  <si>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</si>
  <si>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</si>
  <si>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</si>
  <si>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</si>
  <si>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</si>
  <si>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</si>
  <si>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</si>
  <si>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</si>
  <si>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</si>
  <si>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 xml:space="preserve">Пар</t>
  </si>
  <si>
    <t xml:space="preserve">Газ природный по нерегулируемой цене</t>
  </si>
  <si>
    <t xml:space="preserve">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</si>
  <si>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</si>
  <si>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</si>
  <si>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</si>
  <si>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 xml:space="preserve">01</t>
  </si>
  <si>
    <t xml:space="preserve">Единая теплоснабжающая организация в ценовой зоне теплоснабжения</t>
  </si>
  <si>
    <t xml:space="preserve">газ природный по нерегулируемой цене</t>
  </si>
  <si>
    <t xml:space="preserve">Февраль</t>
  </si>
  <si>
    <t xml:space="preserve">HEAT_FIN_SRC_LIST</t>
  </si>
  <si>
    <t xml:space="preserve">VSNA_FIN_SRC_LIST</t>
  </si>
  <si>
    <t xml:space="preserve">VOTV_FIN_SRC_LIST</t>
  </si>
  <si>
    <t xml:space="preserve">OTKO_FIN_SRC_LIST</t>
  </si>
  <si>
    <t xml:space="preserve">HEAT_PT_TARIFF_NAME_LIST</t>
  </si>
  <si>
    <t xml:space="preserve">COLDVSNA_PT_TARIFF_NAME_LIST</t>
  </si>
  <si>
    <t xml:space="preserve">HOTVSNA_PT_TARIFF_NAME_LIST</t>
  </si>
  <si>
    <t xml:space="preserve">VOTV_PT_TARIFF_NAME_LIST</t>
  </si>
  <si>
    <t xml:space="preserve">Архангельская область</t>
  </si>
  <si>
    <t xml:space="preserve">март</t>
  </si>
  <si>
    <t xml:space="preserve">III квартал</t>
  </si>
  <si>
    <t xml:space="preserve">ЕСХН</t>
  </si>
  <si>
    <t xml:space="preserve">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</si>
  <si>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</si>
  <si>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</si>
  <si>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</si>
  <si>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</si>
  <si>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</si>
  <si>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</si>
  <si>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</si>
  <si>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</si>
  <si>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</si>
  <si>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</si>
  <si>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</si>
  <si>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 xml:space="preserve">Уголь</t>
  </si>
  <si>
    <t xml:space="preserve">Аукцион в электронной форме</t>
  </si>
  <si>
    <t xml:space="preserve">иное</t>
  </si>
  <si>
    <t xml:space="preserve">от 71 мм до 100 мм включительно</t>
  </si>
  <si>
    <t xml:space="preserve">02</t>
  </si>
  <si>
    <t xml:space="preserve">Теплоснабжающая организация в ценовой зоне теплоснабжения</t>
  </si>
  <si>
    <t xml:space="preserve">газ сжиженный</t>
  </si>
  <si>
    <t xml:space="preserve">кг</t>
  </si>
  <si>
    <t xml:space="preserve">Март</t>
  </si>
  <si>
    <t xml:space="preserve">[ Собственные средства ]</t>
  </si>
  <si>
    <t xml:space="preserve">HEAT_PT_TARIFF_ID</t>
  </si>
  <si>
    <t xml:space="preserve">HEAT_PT_TARIFF_NAME</t>
  </si>
  <si>
    <t xml:space="preserve">COLDVSNA_PT_TARIFF_ID</t>
  </si>
  <si>
    <t xml:space="preserve">COLDVSNA_PT_TARIFF_NAME</t>
  </si>
  <si>
    <t xml:space="preserve">HOTVSNA_PT_TARIFF_ID</t>
  </si>
  <si>
    <t xml:space="preserve">HOTVSNA_PT_TARIFF_NAME</t>
  </si>
  <si>
    <t xml:space="preserve">VOTV_PT_TARIFF_ID</t>
  </si>
  <si>
    <t xml:space="preserve">VOTV_PT_TARIFF_NAME</t>
  </si>
  <si>
    <t xml:space="preserve">Астраханская область</t>
  </si>
  <si>
    <t xml:space="preserve">апрель</t>
  </si>
  <si>
    <t xml:space="preserve">IV квартал</t>
  </si>
  <si>
    <t xml:space="preserve">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</si>
  <si>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</si>
  <si>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</si>
  <si>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</si>
  <si>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</si>
  <si>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</si>
  <si>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</si>
  <si>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</si>
  <si>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</si>
  <si>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</si>
  <si>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</si>
  <si>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 xml:space="preserve">Мазут</t>
  </si>
  <si>
    <t xml:space="preserve">Запрос котировок</t>
  </si>
  <si>
    <t xml:space="preserve">от 101 мм до 150 мм включительно</t>
  </si>
  <si>
    <t xml:space="preserve">03</t>
  </si>
  <si>
    <t xml:space="preserve">Теплосетевая организация в ценовой зоне теплоснабжения</t>
  </si>
  <si>
    <t xml:space="preserve">газовый конденсат</t>
  </si>
  <si>
    <t xml:space="preserve">тонны</t>
  </si>
  <si>
    <t xml:space="preserve">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</si>
  <si>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</si>
  <si>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</si>
  <si>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</si>
  <si>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</si>
  <si>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</si>
  <si>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 xml:space="preserve">май</t>
  </si>
  <si>
    <t xml:space="preserve">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</si>
  <si>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</si>
  <si>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</si>
  <si>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</si>
  <si>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</si>
  <si>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</si>
  <si>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</si>
  <si>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</si>
  <si>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</si>
  <si>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</si>
  <si>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 xml:space="preserve">04</t>
  </si>
  <si>
    <t xml:space="preserve">гшз</t>
  </si>
  <si>
    <t xml:space="preserve">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</si>
  <si>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</si>
  <si>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</si>
  <si>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</si>
  <si>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</si>
  <si>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</si>
  <si>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 xml:space="preserve">июнь</t>
  </si>
  <si>
    <t xml:space="preserve">налогообложение казённых учреждений</t>
  </si>
  <si>
    <t xml:space="preserve">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</si>
  <si>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</si>
  <si>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</si>
  <si>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</si>
  <si>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 xml:space="preserve">Дрова</t>
  </si>
  <si>
    <t xml:space="preserve">Иное</t>
  </si>
  <si>
    <t xml:space="preserve">от 201 мм до 250 мм включительно</t>
  </si>
  <si>
    <t xml:space="preserve">05</t>
  </si>
  <si>
    <t xml:space="preserve">QRE_METHOD_LIST</t>
  </si>
  <si>
    <t xml:space="preserve">мазут</t>
  </si>
  <si>
    <t xml:space="preserve">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</si>
  <si>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</si>
  <si>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</si>
  <si>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</si>
  <si>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</si>
  <si>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 xml:space="preserve">июль</t>
  </si>
  <si>
    <t xml:space="preserve">смешанное налогообложение</t>
  </si>
  <si>
    <t xml:space="preserve">руб./Гкал</t>
  </si>
  <si>
    <t xml:space="preserve">производство (некомбинированная выработка)</t>
  </si>
  <si>
    <t xml:space="preserve">острый и редуцированный пар</t>
  </si>
  <si>
    <t xml:space="preserve">Электроэнергия</t>
  </si>
  <si>
    <t xml:space="preserve">от 250  мм и более</t>
  </si>
  <si>
    <t xml:space="preserve">06</t>
  </si>
  <si>
    <t xml:space="preserve">по мероприятиям</t>
  </si>
  <si>
    <t xml:space="preserve">нефть</t>
  </si>
  <si>
    <t xml:space="preserve">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</si>
  <si>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</si>
  <si>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</si>
  <si>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</si>
  <si>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</si>
  <si>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</si>
  <si>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</si>
  <si>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 xml:space="preserve">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</si>
  <si>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</si>
  <si>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</si>
  <si>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</si>
  <si>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 xml:space="preserve">Прочее</t>
  </si>
  <si>
    <t xml:space="preserve">Плата за подключение к системе теплоснабжения</t>
  </si>
  <si>
    <t xml:space="preserve">07</t>
  </si>
  <si>
    <t xml:space="preserve">по группам мероприятий</t>
  </si>
  <si>
    <t xml:space="preserve">дизельное топливо</t>
  </si>
  <si>
    <t xml:space="preserve">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</si>
  <si>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</si>
  <si>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</si>
  <si>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</si>
  <si>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</si>
  <si>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 xml:space="preserve">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</si>
  <si>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</si>
  <si>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</si>
  <si>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</si>
  <si>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</si>
  <si>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</si>
  <si>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</si>
  <si>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</si>
  <si>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 xml:space="preserve">08</t>
  </si>
  <si>
    <t xml:space="preserve">в целом на инвестиционную программу</t>
  </si>
  <si>
    <t xml:space="preserve">уголь бурый</t>
  </si>
  <si>
    <t xml:space="preserve">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</si>
  <si>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</si>
  <si>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</si>
  <si>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</si>
  <si>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</si>
  <si>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 xml:space="preserve">октябрь</t>
  </si>
  <si>
    <t xml:space="preserve">тариф указан без НДС для плательщиков НДС</t>
  </si>
  <si>
    <t xml:space="preserve">тариф не утверждался</t>
  </si>
  <si>
    <t xml:space="preserve">кВт*ч</t>
  </si>
  <si>
    <t xml:space="preserve">Торги/аукционы</t>
  </si>
  <si>
    <t xml:space="preserve">прочее</t>
  </si>
  <si>
    <t xml:space="preserve">Форма 4.2.4 Информация о величинах тарифов на подключение к системе теплоснабжения</t>
  </si>
  <si>
    <t xml:space="preserve">09</t>
  </si>
  <si>
    <t xml:space="preserve">по муниципальным образованиям/территориям</t>
  </si>
  <si>
    <t xml:space="preserve">уголь каменный</t>
  </si>
  <si>
    <t xml:space="preserve">Октябрь</t>
  </si>
  <si>
    <t xml:space="preserve">  [ Экономия расходов ]</t>
  </si>
  <si>
    <t xml:space="preserve">      Прочие займы</t>
  </si>
  <si>
    <t xml:space="preserve">г.Байконур</t>
  </si>
  <si>
    <t xml:space="preserve">ноябрь</t>
  </si>
  <si>
    <t xml:space="preserve">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</si>
  <si>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</si>
  <si>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</si>
  <si>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</si>
  <si>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 xml:space="preserve">торф</t>
  </si>
  <si>
    <t xml:space="preserve">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</si>
  <si>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</si>
  <si>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</si>
  <si>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</si>
  <si>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</si>
  <si>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 xml:space="preserve">декабрь</t>
  </si>
  <si>
    <t xml:space="preserve">дрова</t>
  </si>
  <si>
    <t xml:space="preserve">м3</t>
  </si>
  <si>
    <t xml:space="preserve">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</si>
  <si>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</si>
  <si>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</si>
  <si>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 xml:space="preserve">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</si>
  <si>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</si>
  <si>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</si>
  <si>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 xml:space="preserve">TITLE_IP_DETAILED_METHOD_LIST</t>
  </si>
  <si>
    <t xml:space="preserve">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</si>
  <si>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</si>
  <si>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</si>
  <si>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 xml:space="preserve">г.Севастополь</t>
  </si>
  <si>
    <t xml:space="preserve">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</si>
  <si>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</si>
  <si>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</si>
  <si>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</si>
  <si>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</si>
  <si>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</si>
  <si>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</si>
  <si>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</si>
  <si>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 xml:space="preserve">START_FILL</t>
  </si>
  <si>
    <t xml:space="preserve">тариф с НДС организаций-плательщиков НДС</t>
  </si>
  <si>
    <t xml:space="preserve">тариф организаций не являющихся плательщиками НДС</t>
  </si>
  <si>
    <t xml:space="preserve">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</si>
  <si>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</si>
  <si>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</si>
  <si>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</si>
  <si>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</si>
  <si>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</si>
  <si>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 xml:space="preserve">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</si>
  <si>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</si>
  <si>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</si>
  <si>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</si>
  <si>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</si>
  <si>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</si>
  <si>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 xml:space="preserve">COLDVSNA_PT_VED_NAME_LIST</t>
  </si>
  <si>
    <t xml:space="preserve">HOTVSNA_PT_VED_NAME_LIST</t>
  </si>
  <si>
    <t xml:space="preserve">VOTV_PT_VED_NAME_LIST</t>
  </si>
  <si>
    <t xml:space="preserve">TKO_PT_VED_NAME_LIST</t>
  </si>
  <si>
    <t xml:space="preserve">Забайкальский край</t>
  </si>
  <si>
    <t xml:space="preserve">Тарифы на тепло для REQUEST.HEAT
/kind_of_tariff_RHEAT/</t>
  </si>
  <si>
    <t xml:space="preserve">17</t>
  </si>
  <si>
    <t xml:space="preserve">производство теплоносителя</t>
  </si>
  <si>
    <t xml:space="preserve">пилеты</t>
  </si>
  <si>
    <t xml:space="preserve">      Экономия средств, достигнутая регулируемой организацией в результате снижения расходов</t>
  </si>
  <si>
    <t xml:space="preserve">  Прочие</t>
  </si>
  <si>
    <t xml:space="preserve">COLDVSNA_PT_VED_ID</t>
  </si>
  <si>
    <t xml:space="preserve">COLDVSNA_PT_VED_NAME</t>
  </si>
  <si>
    <t xml:space="preserve">HOTVSNA_PT_VED_ID</t>
  </si>
  <si>
    <t xml:space="preserve">HOTVSNA_PT_VED_NAME</t>
  </si>
  <si>
    <t xml:space="preserve">VOTV_PT_VED_ID</t>
  </si>
  <si>
    <t xml:space="preserve">VOTV_PT_VED_NAME</t>
  </si>
  <si>
    <t xml:space="preserve">TKO_PT_VED_ID</t>
  </si>
  <si>
    <t xml:space="preserve">TKO_PT_VED_NAME</t>
  </si>
  <si>
    <t xml:space="preserve">Запорожская область</t>
  </si>
  <si>
    <t xml:space="preserve">18</t>
  </si>
  <si>
    <t xml:space="preserve">передача тепловой энергии и теплоносителя</t>
  </si>
  <si>
    <t xml:space="preserve">IP_CLAIM_LIST</t>
  </si>
  <si>
    <t xml:space="preserve">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</si>
  <si>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</si>
  <si>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</si>
  <si>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</si>
  <si>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</si>
  <si>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</si>
  <si>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 xml:space="preserve">Водоотведение</t>
  </si>
  <si>
    <t xml:space="preserve">Захоронение твердых коммунальных отходов</t>
  </si>
  <si>
    <t xml:space="preserve">Ивановская область</t>
  </si>
  <si>
    <t xml:space="preserve">19</t>
  </si>
  <si>
    <t xml:space="preserve">сбыт тепловой энергии и теплоносителя</t>
  </si>
  <si>
    <t xml:space="preserve">уменьшение удельных затрат (повышение КПД)</t>
  </si>
  <si>
    <t xml:space="preserve">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</si>
  <si>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</si>
  <si>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</si>
  <si>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 xml:space="preserve">Транспортировка</t>
  </si>
  <si>
    <t xml:space="preserve">Обезвреживание твердых коммунальных отходов</t>
  </si>
  <si>
    <t xml:space="preserve">Иркутская область</t>
  </si>
  <si>
    <t xml:space="preserve">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</si>
  <si>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</si>
  <si>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</si>
  <si>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</si>
  <si>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</si>
  <si>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</si>
  <si>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</si>
  <si>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</si>
  <si>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</si>
  <si>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</si>
  <si>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</si>
  <si>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</si>
  <si>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 xml:space="preserve">керосин</t>
  </si>
  <si>
    <t xml:space="preserve">Производство. Теплоноситель</t>
  </si>
  <si>
    <t xml:space="preserve">Транспортировка. Питьевая вода</t>
  </si>
  <si>
    <t xml:space="preserve">Калининградская область</t>
  </si>
  <si>
    <t xml:space="preserve">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</si>
  <si>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</si>
  <si>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</si>
  <si>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</si>
  <si>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</si>
  <si>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</si>
  <si>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</si>
  <si>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 xml:space="preserve">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</si>
  <si>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</si>
  <si>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</si>
  <si>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</si>
  <si>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</si>
  <si>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</si>
  <si>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</si>
  <si>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</si>
  <si>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 xml:space="preserve">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</si>
  <si>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</si>
  <si>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</si>
  <si>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</si>
  <si>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</si>
  <si>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</si>
  <si>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 xml:space="preserve">CROSSES</t>
  </si>
  <si>
    <t xml:space="preserve">24</t>
  </si>
  <si>
    <t xml:space="preserve">электроэнергия (СН2)</t>
  </si>
  <si>
    <t xml:space="preserve">Сбыт. Теплоноситель</t>
  </si>
  <si>
    <t xml:space="preserve">Кемеровская область</t>
  </si>
  <si>
    <t xml:space="preserve">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</si>
  <si>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</si>
  <si>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</si>
  <si>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</si>
  <si>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</si>
  <si>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 xml:space="preserve">26</t>
  </si>
  <si>
    <t xml:space="preserve">PT_GROUP_CONSUMER_LIST</t>
  </si>
  <si>
    <t xml:space="preserve">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</si>
  <si>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</si>
  <si>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</si>
  <si>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</si>
  <si>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 xml:space="preserve">Организация</t>
  </si>
  <si>
    <t xml:space="preserve">25.07.2023 22:51:32</t>
  </si>
  <si>
    <t xml:space="preserve">27</t>
  </si>
  <si>
    <t xml:space="preserve">Краснодарский край</t>
  </si>
  <si>
    <t xml:space="preserve">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</si>
  <si>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</si>
  <si>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</si>
  <si>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 xml:space="preserve">29</t>
  </si>
  <si>
    <t xml:space="preserve">население</t>
  </si>
  <si>
    <t xml:space="preserve">  Иные бюджетные средства</t>
  </si>
  <si>
    <t xml:space="preserve">Курганская область</t>
  </si>
  <si>
    <t xml:space="preserve">Виды деятельности</t>
  </si>
  <si>
    <t xml:space="preserve">https://appsrv.regportal-tariff.ru/procwsxls/</t>
  </si>
  <si>
    <t xml:space="preserve">30</t>
  </si>
  <si>
    <t xml:space="preserve">Курская область</t>
  </si>
  <si>
    <t xml:space="preserve">31</t>
  </si>
  <si>
    <t xml:space="preserve">Ленинградская область</t>
  </si>
  <si>
    <t xml:space="preserve">32</t>
  </si>
  <si>
    <t xml:space="preserve">Липецкая область</t>
  </si>
  <si>
    <t xml:space="preserve">33</t>
  </si>
  <si>
    <t xml:space="preserve">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</si>
  <si>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</si>
  <si>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</si>
  <si>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 xml:space="preserve">TEMPLATE_SPHERE</t>
  </si>
  <si>
    <t xml:space="preserve">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</si>
  <si>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</si>
  <si>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</si>
  <si>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 xml:space="preserve">теплоснабжения</t>
  </si>
  <si>
    <t xml:space="preserve">теплоснабжение</t>
  </si>
  <si>
    <t xml:space="preserve">35</t>
  </si>
  <si>
    <t xml:space="preserve">Московская область</t>
  </si>
  <si>
    <t xml:space="preserve">холодного водоснабжения</t>
  </si>
  <si>
    <t xml:space="preserve">холодное водоснабжение</t>
  </si>
  <si>
    <t xml:space="preserve">36</t>
  </si>
  <si>
    <t xml:space="preserve">HEAT_FIN_SRC_VLD_LIST</t>
  </si>
  <si>
    <t xml:space="preserve">VSNA_FIN_SRC_VLD_LIST</t>
  </si>
  <si>
    <t xml:space="preserve">VOTV_FIN_SRC_VLD_LIST</t>
  </si>
  <si>
    <t xml:space="preserve">OTKO_FIN_SRC_VLD_LIST</t>
  </si>
  <si>
    <t xml:space="preserve">Мурманская область</t>
  </si>
  <si>
    <t xml:space="preserve">водоотведения</t>
  </si>
  <si>
    <t xml:space="preserve">водоотведение</t>
  </si>
  <si>
    <t xml:space="preserve">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</si>
  <si>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</si>
  <si>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</si>
  <si>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</si>
  <si>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</si>
  <si>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</si>
  <si>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 xml:space="preserve">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</si>
  <si>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</si>
  <si>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</si>
  <si>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</si>
  <si>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 xml:space="preserve">TKO</t>
  </si>
  <si>
    <t xml:space="preserve">39</t>
  </si>
  <si>
    <t xml:space="preserve">PT_TN_LIST</t>
  </si>
  <si>
    <t xml:space="preserve">Прочие амортизационные отчисления</t>
  </si>
  <si>
    <t xml:space="preserve">Новгородская область</t>
  </si>
  <si>
    <t xml:space="preserve">40</t>
  </si>
  <si>
    <t xml:space="preserve">Займы, предоставленные Фондом ЖКХ за счет средств ФНБ</t>
  </si>
  <si>
    <t xml:space="preserve">Новосибирская область</t>
  </si>
  <si>
    <t xml:space="preserve">41</t>
  </si>
  <si>
    <t xml:space="preserve">За счет платы за технологическое присоединение</t>
  </si>
  <si>
    <t xml:space="preserve">Прочие займы</t>
  </si>
  <si>
    <t xml:space="preserve">Омская область</t>
  </si>
  <si>
    <t xml:space="preserve">PeriodIsEmpty</t>
  </si>
  <si>
    <t xml:space="preserve">NameTemplatesInTitle</t>
  </si>
  <si>
    <t xml:space="preserve">NameTemplatesInListMO</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</si>
  <si>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</si>
  <si>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</si>
  <si>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</si>
  <si>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 xml:space="preserve">TEMPLATE_GROUP</t>
  </si>
  <si>
    <t xml:space="preserve">Q</t>
  </si>
  <si>
    <t xml:space="preserve">CodeTemplate</t>
  </si>
  <si>
    <t xml:space="preserve">StartDate</t>
  </si>
  <si>
    <t xml:space="preserve">EndDate</t>
  </si>
  <si>
    <t xml:space="preserve">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</si>
  <si>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</si>
  <si>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</si>
  <si>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</si>
  <si>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 xml:space="preserve">O</t>
  </si>
  <si>
    <t xml:space="preserve">44</t>
  </si>
  <si>
    <t xml:space="preserve">Бюджет муниципального образования</t>
  </si>
  <si>
    <t xml:space="preserve">Пензенская область</t>
  </si>
  <si>
    <t xml:space="preserve">45</t>
  </si>
  <si>
    <t xml:space="preserve">Лизинг</t>
  </si>
  <si>
    <t xml:space="preserve">Пермский край</t>
  </si>
  <si>
    <t xml:space="preserve">BALANCE</t>
  </si>
  <si>
    <t xml:space="preserve">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</si>
  <si>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</si>
  <si>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 xml:space="preserve">46</t>
  </si>
  <si>
    <t xml:space="preserve">Прочие</t>
  </si>
  <si>
    <t xml:space="preserve">Приморский край</t>
  </si>
  <si>
    <t xml:space="preserve">TERMS</t>
  </si>
  <si>
    <t xml:space="preserve">T</t>
  </si>
  <si>
    <t xml:space="preserve">47</t>
  </si>
  <si>
    <t xml:space="preserve">Псковская область</t>
  </si>
  <si>
    <t xml:space="preserve">INVEST</t>
  </si>
  <si>
    <t xml:space="preserve">48</t>
  </si>
  <si>
    <t xml:space="preserve">Республика Адыгея</t>
  </si>
  <si>
    <t xml:space="preserve">REQUEST</t>
  </si>
  <si>
    <t xml:space="preserve">R</t>
  </si>
  <si>
    <t xml:space="preserve">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</si>
  <si>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</si>
  <si>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</si>
  <si>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 xml:space="preserve">PRICE</t>
  </si>
  <si>
    <t xml:space="preserve">P</t>
  </si>
  <si>
    <t xml:space="preserve">50</t>
  </si>
  <si>
    <t xml:space="preserve">Республика Башкортостан</t>
  </si>
  <si>
    <t xml:space="preserve">ROIV</t>
  </si>
  <si>
    <t xml:space="preserve">Показатели, подлежащие раскрытию органами регулирования</t>
  </si>
  <si>
    <t xml:space="preserve">51</t>
  </si>
  <si>
    <t xml:space="preserve">Республика Бурятия</t>
  </si>
  <si>
    <t xml:space="preserve">52</t>
  </si>
  <si>
    <t xml:space="preserve">PT_NETS_LIST</t>
  </si>
  <si>
    <t xml:space="preserve">Республика Дагестан</t>
  </si>
  <si>
    <t xml:space="preserve">53</t>
  </si>
  <si>
    <t xml:space="preserve">Республика Ингушетия</t>
  </si>
  <si>
    <t xml:space="preserve">TERRITORY_ID</t>
  </si>
  <si>
    <t xml:space="preserve">начинать только с 2, остальное по умолчанию</t>
  </si>
  <si>
    <t xml:space="preserve">54</t>
  </si>
  <si>
    <t xml:space="preserve">Республика Калмыкия</t>
  </si>
  <si>
    <t xml:space="preserve">DIFFERENTIATION_ID</t>
  </si>
  <si>
    <t xml:space="preserve">55</t>
  </si>
  <si>
    <t xml:space="preserve">Республика Карелия</t>
  </si>
  <si>
    <t xml:space="preserve">IP_ID</t>
  </si>
  <si>
    <t xml:space="preserve">56</t>
  </si>
  <si>
    <t xml:space="preserve">Республика Коми</t>
  </si>
  <si>
    <t xml:space="preserve">начинать только с 30, остальное по умолчанию</t>
  </si>
  <si>
    <t xml:space="preserve">57</t>
  </si>
  <si>
    <t xml:space="preserve">PT_DIAMETERS_LIST</t>
  </si>
  <si>
    <t xml:space="preserve">Республика Крым</t>
  </si>
  <si>
    <t xml:space="preserve">VDET_ID</t>
  </si>
  <si>
    <t xml:space="preserve">58</t>
  </si>
  <si>
    <t xml:space="preserve">Республика Марий Эл</t>
  </si>
  <si>
    <t xml:space="preserve">NTAR_ID</t>
  </si>
  <si>
    <t xml:space="preserve">59</t>
  </si>
  <si>
    <t xml:space="preserve">Республика Мордовия</t>
  </si>
  <si>
    <t xml:space="preserve">Республика Саха (Якутия)</t>
  </si>
  <si>
    <t xml:space="preserve">CS_ID</t>
  </si>
  <si>
    <t xml:space="preserve">Республика Северная Осетия-Алания</t>
  </si>
  <si>
    <t xml:space="preserve">IST_TE_ID</t>
  </si>
  <si>
    <t xml:space="preserve">Республика Татарстан</t>
  </si>
  <si>
    <t xml:space="preserve">Республика Тыва</t>
  </si>
  <si>
    <t xml:space="preserve">PT_LOAD_LIST</t>
  </si>
  <si>
    <t xml:space="preserve">Республика Хакасия</t>
  </si>
  <si>
    <t xml:space="preserve">Ростовская область</t>
  </si>
  <si>
    <t xml:space="preserve">HEAT_IP_EVENT_GROUP_LIST</t>
  </si>
  <si>
    <t xml:space="preserve">VSNA_IP_EVENT_GROUP_LIST</t>
  </si>
  <si>
    <t xml:space="preserve">VOTV_IP_EVENT_GROUP_LIST</t>
  </si>
  <si>
    <t xml:space="preserve">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</si>
  <si>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</si>
  <si>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</si>
  <si>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</si>
  <si>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</si>
  <si>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</si>
  <si>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</si>
  <si>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</si>
  <si>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</si>
  <si>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</si>
  <si>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</si>
  <si>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</si>
  <si>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</si>
  <si>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</si>
  <si>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</si>
  <si>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</si>
  <si>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</si>
  <si>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</si>
  <si>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</si>
  <si>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</si>
  <si>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</si>
  <si>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</si>
  <si>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</si>
  <si>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</si>
  <si>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</si>
  <si>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</si>
  <si>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</si>
  <si>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</si>
  <si>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</si>
  <si>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 xml:space="preserve">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</si>
  <si>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</si>
  <si>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</si>
  <si>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</si>
  <si>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</si>
  <si>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</si>
  <si>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</si>
  <si>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</si>
  <si>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</si>
  <si>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 xml:space="preserve">HEAT_IP_EVENT_SUBGROUP_1_LIST</t>
  </si>
  <si>
    <t xml:space="preserve">VSNA_IP_EVENT_SUBGROUP_1_LIST</t>
  </si>
  <si>
    <t xml:space="preserve">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</si>
  <si>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</si>
  <si>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</si>
  <si>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</si>
  <si>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</si>
  <si>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</si>
  <si>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</si>
  <si>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</si>
  <si>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</si>
  <si>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</si>
  <si>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</si>
  <si>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</si>
  <si>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</si>
  <si>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</si>
  <si>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</si>
  <si>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</si>
  <si>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</si>
  <si>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</si>
  <si>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 xml:space="preserve">TYPE_TKO_LIST</t>
  </si>
  <si>
    <t xml:space="preserve">Херсонская область</t>
  </si>
  <si>
    <t xml:space="preserve">несортированные</t>
  </si>
  <si>
    <t xml:space="preserve">Челябинская область</t>
  </si>
  <si>
    <t xml:space="preserve">сортированные</t>
  </si>
  <si>
    <t xml:space="preserve">HEAT_IP_EVENT_SUBGROUP_3_LIST</t>
  </si>
  <si>
    <t xml:space="preserve">VSNA_IP_EVENT_SUBGROUP_3_LIST</t>
  </si>
  <si>
    <t xml:space="preserve">VOTV_IP_EVENT_SUBGROUP_3_LIST</t>
  </si>
  <si>
    <t xml:space="preserve">Чеченская республика</t>
  </si>
  <si>
    <t xml:space="preserve">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</si>
  <si>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</si>
  <si>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</si>
  <si>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</si>
  <si>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</si>
  <si>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</si>
  <si>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</si>
  <si>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</si>
  <si>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</si>
  <si>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 xml:space="preserve">CLASS_TKO_LIST</t>
  </si>
  <si>
    <t xml:space="preserve">Ямало-Ненецкий автономный округ</t>
  </si>
  <si>
    <t xml:space="preserve">Ярославская область</t>
  </si>
  <si>
    <t xml:space="preserve">HEAT_IP_EVENT_SUBGROUP_5_LIST</t>
  </si>
  <si>
    <t xml:space="preserve">VSNA_IP_EVENT_SUBGROUP_5_LIST</t>
  </si>
  <si>
    <t xml:space="preserve">VOTV_IP_EVENT_SUBGROUP_5_LIST</t>
  </si>
  <si>
    <t xml:space="preserve">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</si>
  <si>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</si>
  <si>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</si>
  <si>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</si>
  <si>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 xml:space="preserve">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</si>
  <si>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</si>
  <si>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</si>
  <si>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</si>
  <si>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 xml:space="preserve">V</t>
  </si>
  <si>
    <t xml:space="preserve">ROIV_INFO_LIST_HEAT</t>
  </si>
  <si>
    <t xml:space="preserve">HEAT_IP_EVENT_CI_STAGE_LIST</t>
  </si>
  <si>
    <t xml:space="preserve">VSNA_IP_EVENT_CI_STAGE_LIST</t>
  </si>
  <si>
    <t xml:space="preserve">VOTV_IP_EVENT_CI_STAGE_LIST</t>
  </si>
  <si>
    <t xml:space="preserve">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</si>
  <si>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</si>
  <si>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</si>
  <si>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</si>
  <si>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</si>
  <si>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</si>
  <si>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 xml:space="preserve">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</si>
  <si>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</si>
  <si>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</si>
  <si>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</si>
  <si>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</si>
  <si>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</si>
  <si>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 xml:space="preserve">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</si>
  <si>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</si>
  <si>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</si>
  <si>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</si>
  <si>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</si>
  <si>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 xml:space="preserve">транспортирование</t>
  </si>
  <si>
    <t xml:space="preserve">информация о принятых решениях об установлении тарифов</t>
  </si>
  <si>
    <t xml:space="preserve">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</si>
  <si>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</si>
  <si>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</si>
  <si>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 xml:space="preserve">утилизация</t>
  </si>
  <si>
    <t xml:space="preserve">протокол заседания правления</t>
  </si>
  <si>
    <t xml:space="preserve">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</si>
  <si>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</si>
  <si>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</si>
  <si>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</si>
  <si>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</si>
  <si>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 xml:space="preserve">UNIT_CONNECT_LIST</t>
  </si>
  <si>
    <t xml:space="preserve">тыс.руб./Гкал/ч</t>
  </si>
  <si>
    <t xml:space="preserve">тыс.руб.</t>
  </si>
  <si>
    <t xml:space="preserve">WARM_IP_EVENT_TYPE_LIST</t>
  </si>
  <si>
    <t xml:space="preserve">VSNA_IP_EVENT_TYPE_LIST</t>
  </si>
  <si>
    <t xml:space="preserve">VOTV_IP_EVENT_TYPE_LIST</t>
  </si>
  <si>
    <t xml:space="preserve">OTKO_IP_EVENT_TYPE_LIST</t>
  </si>
  <si>
    <t xml:space="preserve">Производство тепловой энергии</t>
  </si>
  <si>
    <t xml:space="preserve">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</si>
  <si>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</si>
  <si>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</si>
  <si>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 xml:space="preserve">ROIV_INFO_LIST_NO_HEAT</t>
  </si>
  <si>
    <t xml:space="preserve">HEAT_PT_SCHEME</t>
  </si>
  <si>
    <t xml:space="preserve">Фамилия, имя и отчество (при наличии) руководителя:</t>
  </si>
  <si>
    <t xml:space="preserve">фамилия</t>
  </si>
  <si>
    <t xml:space="preserve">Указывается фамилия руководителя в соответствии с паспортными данными физического лица.</t>
  </si>
  <si>
    <t xml:space="preserve">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</si>
  <si>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</si>
  <si>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</si>
  <si>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</si>
  <si>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</si>
  <si>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</si>
  <si>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</si>
  <si>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</si>
  <si>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</si>
  <si>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</si>
  <si>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</si>
  <si>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</si>
  <si>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</si>
  <si>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</si>
  <si>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</si>
  <si>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</si>
  <si>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 xml:space="preserve">дата</t>
  </si>
  <si>
    <t xml:space="preserve">время</t>
  </si>
  <si>
    <t xml:space="preserve">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</si>
  <si>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</si>
  <si>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</si>
  <si>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</si>
  <si>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</si>
  <si>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</si>
  <si>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</si>
  <si>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</si>
  <si>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</si>
  <si>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</si>
  <si>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</si>
  <si>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</si>
  <si>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rPr>
        <sz val="9"/>
        <rFont val="Tahoma"/>
        <family val="0"/>
        <charset val="1"/>
      </rP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 xml:space="preserve">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</si>
  <si>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</si>
  <si>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</si>
  <si>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</si>
  <si>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</si>
  <si>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</si>
  <si>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 xml:space="preserve">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</si>
  <si>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</si>
  <si>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 xml:space="preserve">Сведения</t>
  </si>
  <si>
    <t xml:space="preserve">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</si>
  <si>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</si>
  <si>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 xml:space="preserve">Комментарии</t>
  </si>
  <si>
    <t xml:space="preserve">Результат проверки</t>
  </si>
  <si>
    <t xml:space="preserve">Ссылка</t>
  </si>
  <si>
    <t xml:space="preserve">Причина</t>
  </si>
  <si>
    <t xml:space="preserve">Статус</t>
  </si>
  <si>
    <t xml:space="preserve">et_CHANGE_INFO</t>
  </si>
  <si>
    <t xml:space="preserve">et_Comm</t>
  </si>
  <si>
    <t xml:space="preserve">et_TERRITORY_AREA</t>
  </si>
  <si>
    <t xml:space="preserve">et_TERRITORY_MO</t>
  </si>
  <si>
    <t xml:space="preserve">et_DIFFERENTIATION_VD</t>
  </si>
  <si>
    <t xml:space="preserve">et_DIFFERENTIATION_AREA</t>
  </si>
  <si>
    <t xml:space="preserve">et_DIFFERENTIATION_SYSTEM</t>
  </si>
  <si>
    <t xml:space="preserve">et_ORG_INFO_1</t>
  </si>
  <si>
    <t xml:space="preserve">et_ORG_INFO_2</t>
  </si>
  <si>
    <t xml:space="preserve">et_ORG_INFO_3</t>
  </si>
  <si>
    <t xml:space="preserve">et_ORG_TERRITORY_MO</t>
  </si>
  <si>
    <t xml:space="preserve">et_ORG_VD</t>
  </si>
  <si>
    <t xml:space="preserve">et_ED</t>
  </si>
  <si>
    <t xml:space="preserve">et_TERMS</t>
  </si>
  <si>
    <t xml:space="preserve">et_IP_MAIN</t>
  </si>
  <si>
    <t xml:space="preserve">ip_3</t>
  </si>
  <si>
    <t xml:space="preserve">Добавить реквизиты</t>
  </si>
  <si>
    <t xml:space="preserve">et_IP_MAIN_PROPERTY</t>
  </si>
  <si>
    <t xml:space="preserve">et_IP_DETAILED</t>
  </si>
  <si>
    <t xml:space="preserve">Добавить мероприятие</t>
  </si>
  <si>
    <t xml:space="preserve">et_IP_DETAILED_OBJECT</t>
  </si>
  <si>
    <t xml:space="preserve">Добавить источник финансирования</t>
  </si>
  <si>
    <t xml:space="preserve">et_IP_DETAILED_IST_FIN</t>
  </si>
  <si>
    <t xml:space="preserve">et_IP_DETAILED_EVENT</t>
  </si>
  <si>
    <t xml:space="preserve">Добавить объект инфраструктуры</t>
  </si>
  <si>
    <t xml:space="preserve">et_QRE</t>
  </si>
  <si>
    <t xml:space="preserve">Добавить цель</t>
  </si>
  <si>
    <t xml:space="preserve">et_B_FHD20_1_NOT_HEAT</t>
  </si>
  <si>
    <t xml:space="preserve">Добавить поставщика</t>
  </si>
  <si>
    <t xml:space="preserve">et_B_FHD20_1_HEAT</t>
  </si>
  <si>
    <t xml:space="preserve">et_B_FHD20_2, _3, _4</t>
  </si>
  <si>
    <t xml:space="preserve">Итого по поставщику, в том числе</t>
  </si>
  <si>
    <t xml:space="preserve">Добавить товар/услугу</t>
  </si>
  <si>
    <t xml:space="preserve">Добавить способ</t>
  </si>
  <si>
    <t xml:space="preserve">et_DIFFERENTIATION_TARIFF(_etc)</t>
  </si>
  <si>
    <t xml:space="preserve">et_DIFFERENTIATION_TARIFF_NOT_HEAT(_etc)</t>
  </si>
  <si>
    <t xml:space="preserve">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</si>
  <si>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</si>
  <si>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</si>
  <si>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</si>
  <si>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</si>
  <si>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</si>
  <si>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 xml:space="preserve">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</si>
  <si>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</si>
  <si>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</si>
  <si>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</si>
  <si>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</si>
  <si>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 xml:space="preserve">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</si>
  <si>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</si>
  <si>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</si>
  <si>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</si>
  <si>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</si>
  <si>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</si>
  <si>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</si>
  <si>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</si>
  <si>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</si>
  <si>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</si>
  <si>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</si>
  <si>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</si>
  <si>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</si>
  <si>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</si>
  <si>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</si>
  <si>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</si>
  <si>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</si>
  <si>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</si>
  <si>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</si>
  <si>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</si>
  <si>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</si>
  <si>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</si>
  <si>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</si>
  <si>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</si>
  <si>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</si>
  <si>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</si>
  <si>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</si>
  <si>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</si>
  <si>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</si>
  <si>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</si>
  <si>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</si>
  <si>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</si>
  <si>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</si>
  <si>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</si>
  <si>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</si>
  <si>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</si>
  <si>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</si>
  <si>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</si>
  <si>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</si>
  <si>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</si>
  <si>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</si>
  <si>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</si>
  <si>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</si>
  <si>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</si>
  <si>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</si>
  <si>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</si>
  <si>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</si>
  <si>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</si>
  <si>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</si>
  <si>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</si>
  <si>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</si>
  <si>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</si>
  <si>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</si>
  <si>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</si>
  <si>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</si>
  <si>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</si>
  <si>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</si>
  <si>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</si>
  <si>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</si>
  <si>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</si>
  <si>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</si>
  <si>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</si>
  <si>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</si>
  <si>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</si>
  <si>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</si>
  <si>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</si>
  <si>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</si>
  <si>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</si>
  <si>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</si>
  <si>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</si>
  <si>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 xml:space="preserve">66</t>
  </si>
  <si>
    <t xml:space="preserve">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</si>
  <si>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</si>
  <si>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</si>
  <si>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</si>
  <si>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 xml:space="preserve">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</si>
  <si>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</si>
  <si>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</si>
  <si>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</si>
  <si>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 xml:space="preserve">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</si>
  <si>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</si>
  <si>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</si>
  <si>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</si>
  <si>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</si>
  <si>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</si>
  <si>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 xml:space="preserve">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</si>
  <si>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</si>
  <si>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</si>
  <si>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</si>
  <si>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</si>
  <si>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</si>
  <si>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</si>
  <si>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</si>
  <si>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</si>
  <si>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</si>
  <si>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</si>
  <si>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</si>
  <si>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</si>
  <si>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</si>
  <si>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</si>
  <si>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</si>
  <si>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</si>
  <si>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</si>
  <si>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</si>
  <si>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</si>
  <si>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</si>
  <si>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</si>
  <si>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</si>
  <si>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</si>
  <si>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 xml:space="preserve">2.5.1</t>
  </si>
  <si>
    <t xml:space="preserve">Средневзвешенная стоимость 1 кВт.ч (с учетом мощности)</t>
  </si>
  <si>
    <t xml:space="preserve">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</si>
  <si>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</si>
  <si>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</si>
  <si>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</si>
  <si>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</si>
  <si>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</si>
  <si>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 xml:space="preserve">9.1</t>
  </si>
  <si>
    <t xml:space="preserve">2.6.1</t>
  </si>
  <si>
    <t xml:space="preserve">Расходы на оплату труда основного производственного персонала</t>
  </si>
  <si>
    <t xml:space="preserve">9.2</t>
  </si>
  <si>
    <t xml:space="preserve">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</si>
  <si>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</si>
  <si>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</si>
  <si>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</si>
  <si>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</si>
  <si>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 xml:space="preserve">10.1</t>
  </si>
  <si>
    <t xml:space="preserve">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</si>
  <si>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</si>
  <si>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</si>
  <si>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 xml:space="preserve">10.2</t>
  </si>
  <si>
    <t xml:space="preserve">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</si>
  <si>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</si>
  <si>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</si>
  <si>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 xml:space="preserve">11.1</t>
  </si>
  <si>
    <t xml:space="preserve">2.8.1</t>
  </si>
  <si>
    <t xml:space="preserve">Расходы на амортизацию основных средств</t>
  </si>
  <si>
    <t xml:space="preserve">11.2</t>
  </si>
  <si>
    <t xml:space="preserve">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</si>
  <si>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</si>
  <si>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</si>
  <si>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</si>
  <si>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</si>
  <si>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</si>
  <si>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 xml:space="preserve">2.10</t>
  </si>
  <si>
    <t xml:space="preserve">Общепроизводственные расходы, в том числе:</t>
  </si>
  <si>
    <t xml:space="preserve">Указывается общая сумма общепроизводственных расходов.</t>
  </si>
  <si>
    <t xml:space="preserve">13.1</t>
  </si>
  <si>
    <t xml:space="preserve">2.10.1</t>
  </si>
  <si>
    <t xml:space="preserve">Расходы на текущий ремонт</t>
  </si>
  <si>
    <t xml:space="preserve">Указываются расходы на текущий ремонт, отнесенные к общепроизводственным расходам.</t>
  </si>
  <si>
    <t xml:space="preserve">13.2</t>
  </si>
  <si>
    <t xml:space="preserve">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</si>
  <si>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</si>
  <si>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</si>
  <si>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 xml:space="preserve">2.11</t>
  </si>
  <si>
    <t xml:space="preserve">Общехозяйственные расходы, в том числе:</t>
  </si>
  <si>
    <t xml:space="preserve">Указывается общая сумма общехозяйственных расходов.</t>
  </si>
  <si>
    <t xml:space="preserve">14.1</t>
  </si>
  <si>
    <t xml:space="preserve">2.11.1</t>
  </si>
  <si>
    <t xml:space="preserve">2.9.1</t>
  </si>
  <si>
    <t xml:space="preserve">Указываются расходы на текущий ремонт, отнесенные к общехозяйственным расходам.</t>
  </si>
  <si>
    <t xml:space="preserve">14.2</t>
  </si>
  <si>
    <t xml:space="preserve">2.11.2</t>
  </si>
  <si>
    <t xml:space="preserve">2.9.2</t>
  </si>
  <si>
    <t xml:space="preserve">Указываются расходы на капитальный ремонт, отнесенные к общехозяйственным расходам.</t>
  </si>
  <si>
    <t xml:space="preserve">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</si>
  <si>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</si>
  <si>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</si>
  <si>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</si>
  <si>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15.1</t>
  </si>
  <si>
    <t xml:space="preserve">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</si>
  <si>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</si>
  <si>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 xml:space="preserve">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</si>
  <si>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</si>
  <si>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</si>
  <si>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 xml:space="preserve">16.1</t>
  </si>
  <si>
    <t xml:space="preserve">2.13.1</t>
  </si>
  <si>
    <t xml:space="preserve">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</si>
  <si>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</si>
  <si>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</si>
  <si>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</si>
  <si>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</si>
  <si>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</si>
  <si>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</si>
  <si>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 xml:space="preserve">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</si>
  <si>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</si>
  <si>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</si>
  <si>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</si>
  <si>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</si>
  <si>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</si>
  <si>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</si>
  <si>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</si>
  <si>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</si>
  <si>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</si>
  <si>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 xml:space="preserve">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</si>
  <si>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</si>
  <si>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</si>
  <si>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</si>
  <si>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</si>
  <si>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</si>
  <si>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 xml:space="preserve">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</si>
  <si>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</si>
  <si>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</si>
  <si>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</si>
  <si>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 xml:space="preserve">ж</t>
  </si>
  <si>
    <t xml:space="preserve">Объём поднятой воды</t>
  </si>
  <si>
    <t xml:space="preserve">з</t>
  </si>
  <si>
    <t xml:space="preserve">Объём покупной воды</t>
  </si>
  <si>
    <t xml:space="preserve">и</t>
  </si>
  <si>
    <t xml:space="preserve">Объём воды, пропущенной через очистные сооружения</t>
  </si>
  <si>
    <t xml:space="preserve">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</si>
  <si>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</si>
  <si>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</si>
  <si>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</si>
  <si>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</si>
  <si>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 xml:space="preserve">10.2.1</t>
  </si>
  <si>
    <t xml:space="preserve">Объём отпущенной потребителям воды, определенный по нормативам потребления коммунальных услуг</t>
  </si>
  <si>
    <t xml:space="preserve">10.2.2</t>
  </si>
  <si>
    <t xml:space="preserve">Объём отпущенной потребителям воды, определенный по нормативам потребления коммунальных ресурсов </t>
  </si>
  <si>
    <t xml:space="preserve">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</si>
  <si>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</si>
  <si>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</si>
  <si>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</si>
  <si>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</si>
  <si>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</si>
  <si>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</si>
  <si>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</si>
  <si>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</si>
  <si>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</si>
  <si>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</si>
  <si>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</si>
  <si>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</si>
  <si>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</si>
  <si>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</si>
  <si>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</si>
  <si>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</si>
  <si>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</si>
  <si>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</si>
  <si>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</si>
  <si>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 xml:space="preserve">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</si>
  <si>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</si>
  <si>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</si>
  <si>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 xml:space="preserve">10.3</t>
  </si>
  <si>
    <t xml:space="preserve">По нормативам потребления коммунальных услуг и нормативам потребления коммунальных ресурсов</t>
  </si>
  <si>
    <t xml:space="preserve">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</si>
  <si>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</si>
  <si>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 xml:space="preserve">н</t>
  </si>
  <si>
    <t xml:space="preserve">о</t>
  </si>
  <si>
    <t xml:space="preserve">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</si>
  <si>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</si>
  <si>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</si>
  <si>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</si>
  <si>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</si>
  <si>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</si>
  <si>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</si>
  <si>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</si>
  <si>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 xml:space="preserve">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</si>
  <si>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</si>
  <si>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</si>
  <si>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</si>
  <si>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 xml:space="preserve">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</si>
  <si>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</si>
  <si>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</si>
  <si>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 xml:space="preserve">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</si>
  <si>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</si>
  <si>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</si>
  <si>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</si>
  <si>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 xml:space="preserve">19.1</t>
  </si>
  <si>
    <t xml:space="preserve">Информация о показателях физического износа объектов теплоснабжения</t>
  </si>
  <si>
    <t xml:space="preserve">19.2</t>
  </si>
  <si>
    <t xml:space="preserve">Информация о показателях энергетической эффективности объектов теплоснабжения</t>
  </si>
  <si>
    <t xml:space="preserve">27/44</t>
  </si>
  <si>
    <t xml:space="preserve">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</si>
  <si>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</si>
  <si>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</si>
  <si>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</si>
  <si>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</si>
  <si>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</si>
  <si>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 xml:space="preserve">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</si>
  <si>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</si>
  <si>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</si>
  <si>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Цвет</t>
  </si>
  <si>
    <t xml:space="preserve">Раздел</t>
  </si>
  <si>
    <t xml:space="preserve">доп.листы</t>
  </si>
  <si>
    <t xml:space="preserve">готовность</t>
  </si>
  <si>
    <t xml:space="preserve">ИП</t>
  </si>
  <si>
    <t xml:space="preserve">REGION_ID</t>
  </si>
  <si>
    <t xml:space="preserve">REGION_NAME</t>
  </si>
  <si>
    <t xml:space="preserve">RST_ORG_ID</t>
  </si>
  <si>
    <t xml:space="preserve">ORG_NAME</t>
  </si>
  <si>
    <t xml:space="preserve">INN_NAME</t>
  </si>
  <si>
    <t xml:space="preserve">KPP_NAME</t>
  </si>
  <si>
    <t xml:space="preserve">ORG_START_DATE</t>
  </si>
  <si>
    <t xml:space="preserve">ORG_END_DATE</t>
  </si>
  <si>
    <t xml:space="preserve">SPHERE</t>
  </si>
  <si>
    <t xml:space="preserve">2644</t>
  </si>
  <si>
    <t xml:space="preserve">26479548</t>
  </si>
  <si>
    <t xml:space="preserve">АО "Аэропорт Кольцово"</t>
  </si>
  <si>
    <t xml:space="preserve">6608000446</t>
  </si>
  <si>
    <t xml:space="preserve">668501001</t>
  </si>
  <si>
    <t xml:space="preserve">30-12-2002 00:00:00</t>
  </si>
  <si>
    <t xml:space="preserve">28796046</t>
  </si>
  <si>
    <t xml:space="preserve">АО "ГТ Энерго"</t>
  </si>
  <si>
    <t xml:space="preserve">7703806647</t>
  </si>
  <si>
    <t xml:space="preserve">772801001</t>
  </si>
  <si>
    <t xml:space="preserve">26560525</t>
  </si>
  <si>
    <t xml:space="preserve">АО "ГУ ЖКХ"</t>
  </si>
  <si>
    <t xml:space="preserve">5116000922</t>
  </si>
  <si>
    <t xml:space="preserve">511601001</t>
  </si>
  <si>
    <t xml:space="preserve">13-05-2009 00:00:00</t>
  </si>
  <si>
    <t xml:space="preserve">28146860</t>
  </si>
  <si>
    <t xml:space="preserve">АО "Интер РАО - Электрогенерация"</t>
  </si>
  <si>
    <t xml:space="preserve">7704784450</t>
  </si>
  <si>
    <t xml:space="preserve">770401001</t>
  </si>
  <si>
    <t xml:space="preserve">26479123</t>
  </si>
  <si>
    <t xml:space="preserve">АО "Концерн Росэнергоатом" филиал "Белоярская атомная станция", г.Заречный</t>
  </si>
  <si>
    <t xml:space="preserve">7721632827</t>
  </si>
  <si>
    <t xml:space="preserve">663943002</t>
  </si>
  <si>
    <t xml:space="preserve">28048296</t>
  </si>
  <si>
    <t xml:space="preserve">АО "Кузбассэнерго"</t>
  </si>
  <si>
    <t xml:space="preserve">4200000333</t>
  </si>
  <si>
    <t xml:space="preserve">420501001</t>
  </si>
  <si>
    <t xml:space="preserve">30-12-1993 00:00:00</t>
  </si>
  <si>
    <t xml:space="preserve">31173201</t>
  </si>
  <si>
    <t xml:space="preserve">АО "Мелиострой", с. Байкалово</t>
  </si>
  <si>
    <t xml:space="preserve">6638000362</t>
  </si>
  <si>
    <t xml:space="preserve">667601001</t>
  </si>
  <si>
    <t xml:space="preserve">28821842</t>
  </si>
  <si>
    <t xml:space="preserve">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</si>
  <si>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 xml:space="preserve">7722292838</t>
  </si>
  <si>
    <t xml:space="preserve">667202001</t>
  </si>
  <si>
    <t xml:space="preserve">31-10-2014 00:00:00</t>
  </si>
  <si>
    <t xml:space="preserve">31045037</t>
  </si>
  <si>
    <t xml:space="preserve">АО "Научно-исследовательский институт машиностроения", г. Нижняя Салда</t>
  </si>
  <si>
    <t xml:space="preserve">6623125489</t>
  </si>
  <si>
    <t xml:space="preserve">662301001</t>
  </si>
  <si>
    <t xml:space="preserve">31600324</t>
  </si>
  <si>
    <t xml:space="preserve">АО "ОДК-Сервис" - Филиал "Арамиль"</t>
  </si>
  <si>
    <t xml:space="preserve">4705036363</t>
  </si>
  <si>
    <t xml:space="preserve">668543001</t>
  </si>
  <si>
    <t xml:space="preserve">30994766</t>
  </si>
  <si>
    <t xml:space="preserve">АО "ОТСК"</t>
  </si>
  <si>
    <t xml:space="preserve">6658447960</t>
  </si>
  <si>
    <t xml:space="preserve">665801001</t>
  </si>
  <si>
    <t xml:space="preserve">26850678</t>
  </si>
  <si>
    <t xml:space="preserve">АО "Пневмостроймашина", г.Екатеринбург</t>
  </si>
  <si>
    <t xml:space="preserve">6608000453</t>
  </si>
  <si>
    <t xml:space="preserve">26818855</t>
  </si>
  <si>
    <t xml:space="preserve">АО "ПромСорт-Урал", ОСП в г. Нижние Серги</t>
  </si>
  <si>
    <t xml:space="preserve">6646009256</t>
  </si>
  <si>
    <t xml:space="preserve">664645001</t>
  </si>
  <si>
    <t xml:space="preserve">26479671</t>
  </si>
  <si>
    <t xml:space="preserve">АО "ПромСорт-Урал", г.Ревда</t>
  </si>
  <si>
    <t xml:space="preserve">997550001</t>
  </si>
  <si>
    <t xml:space="preserve">15-01-2001 00:00:00</t>
  </si>
  <si>
    <t xml:space="preserve">26838066</t>
  </si>
  <si>
    <t xml:space="preserve">АО "РЭУ"</t>
  </si>
  <si>
    <t xml:space="preserve">7714783092</t>
  </si>
  <si>
    <t xml:space="preserve">26479174</t>
  </si>
  <si>
    <t xml:space="preserve">АО "Среднеуральский медеплавильный завод", г.Ревда</t>
  </si>
  <si>
    <t xml:space="preserve">6627001318</t>
  </si>
  <si>
    <t xml:space="preserve">668401001</t>
  </si>
  <si>
    <t xml:space="preserve">31-12-2017 00:00:00</t>
  </si>
  <si>
    <t xml:space="preserve">26575381</t>
  </si>
  <si>
    <t xml:space="preserve">АО "Стройматериалы", г.Екатеринбург</t>
  </si>
  <si>
    <t xml:space="preserve">6660000978</t>
  </si>
  <si>
    <t xml:space="preserve">667001001</t>
  </si>
  <si>
    <t xml:space="preserve">26322623</t>
  </si>
  <si>
    <t xml:space="preserve">АО "Уралхиммаш", г.Екатеринбург</t>
  </si>
  <si>
    <t xml:space="preserve">6664013880</t>
  </si>
  <si>
    <t xml:space="preserve">667901001</t>
  </si>
  <si>
    <t xml:space="preserve">28-06-1996 00:00:00</t>
  </si>
  <si>
    <t xml:space="preserve">30943132</t>
  </si>
  <si>
    <t xml:space="preserve">АО «ОЭЗ «Титановая долина», г. Екатеринбург</t>
  </si>
  <si>
    <t xml:space="preserve">6670376352</t>
  </si>
  <si>
    <t xml:space="preserve">31006321</t>
  </si>
  <si>
    <t xml:space="preserve">АО «Сосновское»</t>
  </si>
  <si>
    <t xml:space="preserve">6658344587</t>
  </si>
  <si>
    <t xml:space="preserve">26359541</t>
  </si>
  <si>
    <t xml:space="preserve">Акционерное общество "Автотранспорт", г.Верхняя Пышма</t>
  </si>
  <si>
    <t xml:space="preserve">6606001420</t>
  </si>
  <si>
    <t xml:space="preserve">668601001</t>
  </si>
  <si>
    <t xml:space="preserve">26631885</t>
  </si>
  <si>
    <t xml:space="preserve">Акционерное общество "Акватех", г.Заречный</t>
  </si>
  <si>
    <t xml:space="preserve">6639020763</t>
  </si>
  <si>
    <t xml:space="preserve">668301001</t>
  </si>
  <si>
    <t xml:space="preserve">26-05-2010 00:00:00</t>
  </si>
  <si>
    <t xml:space="preserve">26359673</t>
  </si>
  <si>
    <t xml:space="preserve">Акционерное общество "Артинский завод", п.Арти</t>
  </si>
  <si>
    <t xml:space="preserve">6636005894</t>
  </si>
  <si>
    <t xml:space="preserve">661901001</t>
  </si>
  <si>
    <t xml:space="preserve">26322632</t>
  </si>
  <si>
    <t xml:space="preserve">Акционерное общество "Богословское рудоуправление", г.Краснотурьинск</t>
  </si>
  <si>
    <t xml:space="preserve">6617002344</t>
  </si>
  <si>
    <t xml:space="preserve">661701001</t>
  </si>
  <si>
    <t xml:space="preserve">31-07-1996 00:00:00</t>
  </si>
  <si>
    <t xml:space="preserve">27784565</t>
  </si>
  <si>
    <t xml:space="preserve">Акционерное общество "Верхнетуринский машиностроительный завод"</t>
  </si>
  <si>
    <t xml:space="preserve">6681000827</t>
  </si>
  <si>
    <t xml:space="preserve">668101001</t>
  </si>
  <si>
    <t xml:space="preserve">28001728</t>
  </si>
  <si>
    <t xml:space="preserve">Акционерное общество "Военторг-Центр", г. Екатеринбург</t>
  </si>
  <si>
    <t xml:space="preserve">6670266695</t>
  </si>
  <si>
    <t xml:space="preserve">26359572</t>
  </si>
  <si>
    <t xml:space="preserve">Акционерное общество "Волчанское", г.Волчанск</t>
  </si>
  <si>
    <t xml:space="preserve">6614004431</t>
  </si>
  <si>
    <t xml:space="preserve">26800755</t>
  </si>
  <si>
    <t xml:space="preserve">Акционерное общество "Газэкс", г. Каменск-Уральский</t>
  </si>
  <si>
    <t xml:space="preserve">6612001379</t>
  </si>
  <si>
    <t xml:space="preserve">660850001</t>
  </si>
  <si>
    <t xml:space="preserve">26359577</t>
  </si>
  <si>
    <t xml:space="preserve">Акционерное общество "ЕВРАЗ Качканарский горно-обогатительный комбинат", г.Качканар</t>
  </si>
  <si>
    <t xml:space="preserve">6615001962</t>
  </si>
  <si>
    <t xml:space="preserve">15-04-1993 00:00:00</t>
  </si>
  <si>
    <t xml:space="preserve">26853991</t>
  </si>
  <si>
    <t xml:space="preserve">Акционерное общество "ЕВРАЗ Нижнетагильский металлургический комбинат", г.Нижний Тагил</t>
  </si>
  <si>
    <t xml:space="preserve">6623000680</t>
  </si>
  <si>
    <t xml:space="preserve">26322595</t>
  </si>
  <si>
    <t xml:space="preserve">Акционерное общество "Екатеринбурггаз", г. Екатеринбург</t>
  </si>
  <si>
    <t xml:space="preserve">6608005130</t>
  </si>
  <si>
    <t xml:space="preserve">30814352</t>
  </si>
  <si>
    <t xml:space="preserve">Акционерное общество "Екатеринбургская теплосетевая компания"</t>
  </si>
  <si>
    <t xml:space="preserve">6671019770</t>
  </si>
  <si>
    <t xml:space="preserve">667101001</t>
  </si>
  <si>
    <t xml:space="preserve">26632534</t>
  </si>
  <si>
    <t xml:space="preserve">Акционерное общество "Екатеринбургский завод по обработке цветных металлов", г.Екатеринбург</t>
  </si>
  <si>
    <t xml:space="preserve">6661005707</t>
  </si>
  <si>
    <t xml:space="preserve">13-11-2012 00:00:00</t>
  </si>
  <si>
    <t xml:space="preserve">26479614</t>
  </si>
  <si>
    <t xml:space="preserve">Акционерное общество "Завод керамических изделий", г.Екатеринбург</t>
  </si>
  <si>
    <t xml:space="preserve">6664006956</t>
  </si>
  <si>
    <t xml:space="preserve">26-01-1995 00:00:00</t>
  </si>
  <si>
    <t xml:space="preserve">27967695</t>
  </si>
  <si>
    <t xml:space="preserve">Акционерное общество "Интер РАО-Электрогенерация" - филиал "Верхнетагильская ГРЭС"</t>
  </si>
  <si>
    <t xml:space="preserve">668243001</t>
  </si>
  <si>
    <t xml:space="preserve">15-06-2011 00:00:00</t>
  </si>
  <si>
    <t xml:space="preserve">26359598</t>
  </si>
  <si>
    <t xml:space="preserve">Акционерное общество "Калиновский химический завод", п.Калиново</t>
  </si>
  <si>
    <t xml:space="preserve">6621001262</t>
  </si>
  <si>
    <t xml:space="preserve">668201001</t>
  </si>
  <si>
    <t xml:space="preserve">27-07-1998 00:00:00</t>
  </si>
  <si>
    <t xml:space="preserve">26479562</t>
  </si>
  <si>
    <t xml:space="preserve">Акционерное общество "Кировградский завод твёрдых сплавов", г. Кировград</t>
  </si>
  <si>
    <t xml:space="preserve">6616000619</t>
  </si>
  <si>
    <t xml:space="preserve">04-11-1992 00:00:00</t>
  </si>
  <si>
    <t xml:space="preserve">26322710</t>
  </si>
  <si>
    <t xml:space="preserve">Акционерное общество "Научно-производственная корпорация "Уралвагонзавод" имени Ф.Э.Дзержинского", г. Нижний Тагил</t>
  </si>
  <si>
    <t xml:space="preserve">6623029538</t>
  </si>
  <si>
    <t xml:space="preserve">997850001</t>
  </si>
  <si>
    <t xml:space="preserve">26479347</t>
  </si>
  <si>
    <t xml:space="preserve">Акционерное общество "Научно-производственное объединение автоматики имени академика Н.А. Семихатова", г. Екатеринбург</t>
  </si>
  <si>
    <t xml:space="preserve">6685066917</t>
  </si>
  <si>
    <t xml:space="preserve">26479446</t>
  </si>
  <si>
    <t xml:space="preserve">Акционерное общество "Научно-производственное предприятие "Старт" им. А.И. Яскина, г. Екатеринбург</t>
  </si>
  <si>
    <t xml:space="preserve">6662054224</t>
  </si>
  <si>
    <t xml:space="preserve">26850795</t>
  </si>
  <si>
    <t xml:space="preserve">Акционерное общество "Невьянский машиностроительный завод - Нефтегазовое оборудование", г. Невьянск</t>
  </si>
  <si>
    <t xml:space="preserve">6621016082</t>
  </si>
  <si>
    <t xml:space="preserve">26481044</t>
  </si>
  <si>
    <t xml:space="preserve">Акционерное общество "Нижне-Исетский завод металлоконструкций", г.Екатеринбург</t>
  </si>
  <si>
    <t xml:space="preserve">6664003916</t>
  </si>
  <si>
    <t xml:space="preserve">666401001</t>
  </si>
  <si>
    <t xml:space="preserve">28436471</t>
  </si>
  <si>
    <t xml:space="preserve">Акционерное общество "Облкоммунэнерго", г. Екатеринбург</t>
  </si>
  <si>
    <t xml:space="preserve">6671028735</t>
  </si>
  <si>
    <t xml:space="preserve">04-12-2013 00:00:00</t>
  </si>
  <si>
    <t xml:space="preserve">26580011</t>
  </si>
  <si>
    <t xml:space="preserve">Акционерное общество "Облкоммунэнерго", г. Екатеринбург - Алапаевский РКЭС</t>
  </si>
  <si>
    <t xml:space="preserve">667745002</t>
  </si>
  <si>
    <t xml:space="preserve">26580007</t>
  </si>
  <si>
    <t xml:space="preserve">Акционерное общество "Облкоммунэнерго", г. Екатеринбург - Артемовский РКЭС</t>
  </si>
  <si>
    <t xml:space="preserve">667745001</t>
  </si>
  <si>
    <t xml:space="preserve">27581373</t>
  </si>
  <si>
    <t xml:space="preserve">Акционерное общество "Облкоммунэнерго", г. Екатеринбург - Артинский РКЭС</t>
  </si>
  <si>
    <t xml:space="preserve">661945002</t>
  </si>
  <si>
    <t xml:space="preserve">26580013</t>
  </si>
  <si>
    <t xml:space="preserve">Акционерное общество "Облкоммунэнерго", г. Екатеринбург - Баранчинский РКЭС</t>
  </si>
  <si>
    <t xml:space="preserve">668145001</t>
  </si>
  <si>
    <t xml:space="preserve">26550265</t>
  </si>
  <si>
    <t xml:space="preserve">Акционерное общество "Облкоммунэнерго", г. Екатеринбург - Богдановичский РКЭС</t>
  </si>
  <si>
    <t xml:space="preserve">663345005</t>
  </si>
  <si>
    <t xml:space="preserve">26550267</t>
  </si>
  <si>
    <t xml:space="preserve">Акционерное общество "Облкоммунэнерго", г. Екатеринбург - Верх-Нейвинский РКЭС</t>
  </si>
  <si>
    <t xml:space="preserve">668245003</t>
  </si>
  <si>
    <t xml:space="preserve">26578649</t>
  </si>
  <si>
    <t xml:space="preserve">Акционерное общество "Облкоммунэнерго", г. Екатеринбург - Кировградский РКЭС</t>
  </si>
  <si>
    <t xml:space="preserve">668245002</t>
  </si>
  <si>
    <t xml:space="preserve">27654254</t>
  </si>
  <si>
    <t xml:space="preserve">Акционерное общество "Облкоммунэнерго", г. Екатеринбург - Ново-Лялинский участок</t>
  </si>
  <si>
    <t xml:space="preserve">668045001</t>
  </si>
  <si>
    <t xml:space="preserve">27918072</t>
  </si>
  <si>
    <t xml:space="preserve">Акционерное общество "Облкоммунэнерго", г. Екатеринбург - Новоуральский РКЭС</t>
  </si>
  <si>
    <t xml:space="preserve">668245001</t>
  </si>
  <si>
    <t xml:space="preserve">27581389</t>
  </si>
  <si>
    <t xml:space="preserve">Акционерное общество "Облкоммунэнерго", г. Екатеринбург - Пелымский РКЭС</t>
  </si>
  <si>
    <t xml:space="preserve">661745001</t>
  </si>
  <si>
    <t xml:space="preserve">27581395</t>
  </si>
  <si>
    <t xml:space="preserve">Акционерное общество "Облкоммунэнерго", г. Екатеринбург - Староуткинский РКЭС</t>
  </si>
  <si>
    <t xml:space="preserve">668445002</t>
  </si>
  <si>
    <t xml:space="preserve">26580015</t>
  </si>
  <si>
    <t xml:space="preserve">Акционерное общество "Облкоммунэнерго", г. Екатеринбург - Сысертский участок</t>
  </si>
  <si>
    <t xml:space="preserve">668545001</t>
  </si>
  <si>
    <t xml:space="preserve">26550269</t>
  </si>
  <si>
    <t xml:space="preserve">Акционерное общество "Облкоммунэнерго", г. Екатеринбург - Тугулымский РКЭС</t>
  </si>
  <si>
    <t xml:space="preserve">663345001</t>
  </si>
  <si>
    <t xml:space="preserve">26322608</t>
  </si>
  <si>
    <t xml:space="preserve">Акционерное общество "Первоуральский новотрубный завод", г.Первоуральск</t>
  </si>
  <si>
    <t xml:space="preserve">6625004271</t>
  </si>
  <si>
    <t xml:space="preserve">01-12-1992 00:00:00</t>
  </si>
  <si>
    <t xml:space="preserve">26574327</t>
  </si>
  <si>
    <t xml:space="preserve">Акционерное общество "Производственное объединение "Уральский оптико-механический завод" имени Э.С. Яламова", г. Екатеринбург</t>
  </si>
  <si>
    <t xml:space="preserve">6672315362</t>
  </si>
  <si>
    <t xml:space="preserve">26322585</t>
  </si>
  <si>
    <t xml:space="preserve">Акционерное общество "Птицефабрика "Свердловская", г.Екатеринбург</t>
  </si>
  <si>
    <t xml:space="preserve">6672350180</t>
  </si>
  <si>
    <t xml:space="preserve">26359624</t>
  </si>
  <si>
    <t xml:space="preserve">Акционерное общество "Ревдинский кирпичный завод", г.Ревда</t>
  </si>
  <si>
    <t xml:space="preserve">6627002142</t>
  </si>
  <si>
    <t xml:space="preserve">23-12-1992 00:00:00</t>
  </si>
  <si>
    <t xml:space="preserve">26479474</t>
  </si>
  <si>
    <t xml:space="preserve">Акционерное общество "Регионгаз-инвест", г.Екатеринбург</t>
  </si>
  <si>
    <t xml:space="preserve">6659075136</t>
  </si>
  <si>
    <t xml:space="preserve">667801001</t>
  </si>
  <si>
    <t xml:space="preserve">31559656</t>
  </si>
  <si>
    <t xml:space="preserve">Акционерное общество "Регионгаз-инвест", г.Екатеринбург - филиал Арамильский городской округ</t>
  </si>
  <si>
    <t xml:space="preserve">26517136</t>
  </si>
  <si>
    <t xml:space="preserve">Акционерное общество "Регионгаз-инвест", г.Екатеринбург - филиал Артемовский городской округ</t>
  </si>
  <si>
    <t xml:space="preserve">660203001</t>
  </si>
  <si>
    <t xml:space="preserve">26517116</t>
  </si>
  <si>
    <t xml:space="preserve">Акционерное общество "Регионгаз-инвест", г.Екатеринбург - филиал Байкаловский муниципальный район</t>
  </si>
  <si>
    <t xml:space="preserve">663803001</t>
  </si>
  <si>
    <t xml:space="preserve">26517142</t>
  </si>
  <si>
    <t xml:space="preserve">Акционерное общество "Регионгаз-инвест", г.Екатеринбург - филиал Березовский городской округ</t>
  </si>
  <si>
    <t xml:space="preserve">660403001</t>
  </si>
  <si>
    <t xml:space="preserve">26517132</t>
  </si>
  <si>
    <t xml:space="preserve">Акционерное общество "Регионгаз-инвест", г.Екатеринбург - филиал Горноуральский городской округ</t>
  </si>
  <si>
    <t xml:space="preserve">662303001</t>
  </si>
  <si>
    <t xml:space="preserve">26517114</t>
  </si>
  <si>
    <t xml:space="preserve">Акционерное общество "Регионгаз-инвест", г.Екатеринбург - филиал Ирбитское муниципальное образование</t>
  </si>
  <si>
    <t xml:space="preserve">661132001</t>
  </si>
  <si>
    <t xml:space="preserve">26517138</t>
  </si>
  <si>
    <t xml:space="preserve">Акционерное общество "Регионгаз-инвест", г.Екатеринбург - филиал Кировградский городской округ</t>
  </si>
  <si>
    <t xml:space="preserve">662132002</t>
  </si>
  <si>
    <t xml:space="preserve">26481006</t>
  </si>
  <si>
    <t xml:space="preserve">Акционерное общество "Регионгаз-инвест", г.Екатеринбург - филиал Малышевский городской округ</t>
  </si>
  <si>
    <t xml:space="preserve">660303001</t>
  </si>
  <si>
    <t xml:space="preserve">26517134</t>
  </si>
  <si>
    <t xml:space="preserve">Акционерное общество "Регионгаз-инвест", г.Екатеринбург - филиал Михайловское муниципальное образование</t>
  </si>
  <si>
    <t xml:space="preserve">664603001</t>
  </si>
  <si>
    <t xml:space="preserve">26517118</t>
  </si>
  <si>
    <t xml:space="preserve">Акционерное общество "Регионгаз-инвест", г.Екатеринбург - филиал Невьянский городской округ</t>
  </si>
  <si>
    <t xml:space="preserve">662132001</t>
  </si>
  <si>
    <t xml:space="preserve">26519527</t>
  </si>
  <si>
    <t xml:space="preserve">Акционерное общество "Регионгаз-инвест", г.Екатеринбург - филиал Пышминский городской округ</t>
  </si>
  <si>
    <t xml:space="preserve">664903001</t>
  </si>
  <si>
    <t xml:space="preserve">26517144</t>
  </si>
  <si>
    <t xml:space="preserve">Акционерное общество "Регионгаз-инвест", г.Екатеринбург - филиал Тавдинский городской округ</t>
  </si>
  <si>
    <t xml:space="preserve">663403001</t>
  </si>
  <si>
    <t xml:space="preserve">26517130</t>
  </si>
  <si>
    <t xml:space="preserve">Акционерное общество "Регионгаз-инвест", г.Екатеринбург - филиал Талицкий городской округ</t>
  </si>
  <si>
    <t xml:space="preserve">665432001</t>
  </si>
  <si>
    <t xml:space="preserve">26517128</t>
  </si>
  <si>
    <t xml:space="preserve">Акционерное общество "Регионгаз-инвест", г.Екатеринбург - филиал Туринский городской округ</t>
  </si>
  <si>
    <t xml:space="preserve">665603001</t>
  </si>
  <si>
    <t xml:space="preserve">26517140</t>
  </si>
  <si>
    <t xml:space="preserve">Акционерное общество "Регионгаз-инвест", г.Екатеринбург - филиал городской округ Красноуфимск</t>
  </si>
  <si>
    <t xml:space="preserve">661945001</t>
  </si>
  <si>
    <t xml:space="preserve">26481205</t>
  </si>
  <si>
    <t xml:space="preserve">Акционерное общество "Регионгаз-инвест", г.Екатеринбург - филиал муниципальное образование город Ирбит</t>
  </si>
  <si>
    <t xml:space="preserve">661103001</t>
  </si>
  <si>
    <t xml:space="preserve">27567057</t>
  </si>
  <si>
    <t xml:space="preserve">Акционерное общество "Ремонтно-эксплуатационное управление" филиал "Екатеринбургский", г. Екатеринбург</t>
  </si>
  <si>
    <t xml:space="preserve">667243001</t>
  </si>
  <si>
    <t xml:space="preserve">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</si>
  <si>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</si>
  <si>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 xml:space="preserve">7708503727</t>
  </si>
  <si>
    <t xml:space="preserve">665945027</t>
  </si>
  <si>
    <t xml:space="preserve">30851307</t>
  </si>
  <si>
    <t xml:space="preserve">Акционерное общество "Русатом Инфраструктурные решения", Филиал в г. Новоуральск</t>
  </si>
  <si>
    <t xml:space="preserve">7706757331</t>
  </si>
  <si>
    <t xml:space="preserve">775050001</t>
  </si>
  <si>
    <t xml:space="preserve">26479454</t>
  </si>
  <si>
    <t xml:space="preserve">Акционерное общество "Свердловскавтодор", г.Екатеринбург</t>
  </si>
  <si>
    <t xml:space="preserve">6658374729</t>
  </si>
  <si>
    <t xml:space="preserve">26479379</t>
  </si>
  <si>
    <t xml:space="preserve">Акционерное общество "Свердловский завод гипсовых изделий", г.Екатеринбург</t>
  </si>
  <si>
    <t xml:space="preserve">6659004872</t>
  </si>
  <si>
    <t xml:space="preserve">26479634</t>
  </si>
  <si>
    <t xml:space="preserve">Акционерное общество "Свердловский инструментальный завод", г.Екатеринбург</t>
  </si>
  <si>
    <t xml:space="preserve">6661000071</t>
  </si>
  <si>
    <t xml:space="preserve">26479597</t>
  </si>
  <si>
    <t xml:space="preserve">Акционерное общество "Свердловский научно-исследовательский институт химического машиностроения", г.Екатеринбург</t>
  </si>
  <si>
    <t xml:space="preserve">6664003909</t>
  </si>
  <si>
    <t xml:space="preserve">26632518</t>
  </si>
  <si>
    <t xml:space="preserve">Акционерное общество "Свердловский путевой ремонтно-механический завод "Ремпутьмаш", г.Екатеринбург</t>
  </si>
  <si>
    <t xml:space="preserve">6659128074</t>
  </si>
  <si>
    <t xml:space="preserve">665901001</t>
  </si>
  <si>
    <t xml:space="preserve">26322613</t>
  </si>
  <si>
    <t xml:space="preserve">Акционерное общество "Северский трубный завод", г. Полевской</t>
  </si>
  <si>
    <t xml:space="preserve">6626002291</t>
  </si>
  <si>
    <t xml:space="preserve">01-12-2018 00:00:00</t>
  </si>
  <si>
    <t xml:space="preserve">26322614</t>
  </si>
  <si>
    <t xml:space="preserve">Акционерное общество "Серовский завод ферросплавов", г.Серов</t>
  </si>
  <si>
    <t xml:space="preserve">6632001031</t>
  </si>
  <si>
    <t xml:space="preserve">26479369</t>
  </si>
  <si>
    <t xml:space="preserve">Акционерное общество "СиАйТи Терминал", г.Екатеринбург</t>
  </si>
  <si>
    <t xml:space="preserve">6662007746</t>
  </si>
  <si>
    <t xml:space="preserve">30832833</t>
  </si>
  <si>
    <t xml:space="preserve">Акционерное общество "Сибирско-Уральская Алюминиевая компания", г. Каменск-Уральский</t>
  </si>
  <si>
    <t xml:space="preserve">6612005052</t>
  </si>
  <si>
    <t xml:space="preserve">661201001</t>
  </si>
  <si>
    <t xml:space="preserve">27665955</t>
  </si>
  <si>
    <t xml:space="preserve">Акционерное общество "Синарская ТЭЦ"</t>
  </si>
  <si>
    <t xml:space="preserve">6612034663</t>
  </si>
  <si>
    <t xml:space="preserve">21-12-2010 00:00:00</t>
  </si>
  <si>
    <t xml:space="preserve">26359656</t>
  </si>
  <si>
    <t xml:space="preserve">Акционерное общество "Совхоз "Знаменский", с.Знаменское</t>
  </si>
  <si>
    <t xml:space="preserve">6633025204</t>
  </si>
  <si>
    <t xml:space="preserve">663301001</t>
  </si>
  <si>
    <t xml:space="preserve">01-03-1993 00:00:00</t>
  </si>
  <si>
    <t xml:space="preserve">26479255</t>
  </si>
  <si>
    <t xml:space="preserve">Акционерное общество "Стройпластполимер", г.Екатеринбург</t>
  </si>
  <si>
    <t xml:space="preserve">6664007685</t>
  </si>
  <si>
    <t xml:space="preserve">03-09-1993 00:00:00</t>
  </si>
  <si>
    <t xml:space="preserve">26629979</t>
  </si>
  <si>
    <t xml:space="preserve">Акционерное общество "Теплопрогресс", г.Среднеуральск</t>
  </si>
  <si>
    <t xml:space="preserve">6606026311</t>
  </si>
  <si>
    <t xml:space="preserve">10-12-2007 00:00:00</t>
  </si>
  <si>
    <t xml:space="preserve">31319760</t>
  </si>
  <si>
    <t xml:space="preserve">Акционерное общество "Тургаз", г. Екатеринбург</t>
  </si>
  <si>
    <t xml:space="preserve">6661046069</t>
  </si>
  <si>
    <t xml:space="preserve">26479520</t>
  </si>
  <si>
    <t xml:space="preserve">Акционерное общество "Управление тепловыми сетями", г.Верхняя Пышма</t>
  </si>
  <si>
    <t xml:space="preserve">6606017564</t>
  </si>
  <si>
    <t xml:space="preserve">26479160</t>
  </si>
  <si>
    <t xml:space="preserve">Акционерное общество "Уралкабель", г. Екатеринбург</t>
  </si>
  <si>
    <t xml:space="preserve">6658004598</t>
  </si>
  <si>
    <t xml:space="preserve">26359543</t>
  </si>
  <si>
    <t xml:space="preserve">Акционерное общество "Уралредмет", г.Верхняя Пышма</t>
  </si>
  <si>
    <t xml:space="preserve">6606002529</t>
  </si>
  <si>
    <t xml:space="preserve">27-04-1993 00:00:00</t>
  </si>
  <si>
    <t xml:space="preserve">26479651</t>
  </si>
  <si>
    <t xml:space="preserve">Акционерное общество "Уральский завод гражданской авиации", г.Екатеринбург</t>
  </si>
  <si>
    <t xml:space="preserve">6664013640</t>
  </si>
  <si>
    <t xml:space="preserve">26479102</t>
  </si>
  <si>
    <t xml:space="preserve">Акционерное общество "Уральский завод металлоконструкций", г.Екатеринбург</t>
  </si>
  <si>
    <t xml:space="preserve">6660000590</t>
  </si>
  <si>
    <t xml:space="preserve">30853984</t>
  </si>
  <si>
    <t xml:space="preserve">Акционерное общество "Уральский завод транспортного машиностроения", г. Екатеринбург</t>
  </si>
  <si>
    <t xml:space="preserve">6659190900</t>
  </si>
  <si>
    <t xml:space="preserve">27734009</t>
  </si>
  <si>
    <t xml:space="preserve">Акционерное общество "Уральский институт металлов"</t>
  </si>
  <si>
    <t xml:space="preserve">6660002502</t>
  </si>
  <si>
    <t xml:space="preserve">26851334</t>
  </si>
  <si>
    <t xml:space="preserve">Акционерное общество "Уральский турбинный завод", г.Екатеринбург</t>
  </si>
  <si>
    <t xml:space="preserve">6673100680</t>
  </si>
  <si>
    <t xml:space="preserve">31311200</t>
  </si>
  <si>
    <t xml:space="preserve">Акционерное общество "Уральский электромеханический завод", г. Екатеринбург</t>
  </si>
  <si>
    <t xml:space="preserve">6670480610</t>
  </si>
  <si>
    <t xml:space="preserve">26479172</t>
  </si>
  <si>
    <t xml:space="preserve">Акционерное общество "Уральский электрохимический комбинат", г. Новоуральск</t>
  </si>
  <si>
    <t xml:space="preserve">6629022962</t>
  </si>
  <si>
    <t xml:space="preserve">785150001</t>
  </si>
  <si>
    <t xml:space="preserve">15-08-2008 00:00:00</t>
  </si>
  <si>
    <t xml:space="preserve">26851308</t>
  </si>
  <si>
    <t xml:space="preserve">Акционерное общество "Уральское производственное предприятие "Вектор", г. Екатеринбург</t>
  </si>
  <si>
    <t xml:space="preserve">6670012517</t>
  </si>
  <si>
    <t xml:space="preserve">26482362</t>
  </si>
  <si>
    <t xml:space="preserve">Акционерное общество "Уралэлектромедь" филиал "Производство полиметаллов", г.Кировград</t>
  </si>
  <si>
    <t xml:space="preserve">6606003385</t>
  </si>
  <si>
    <t xml:space="preserve">661602002</t>
  </si>
  <si>
    <t xml:space="preserve">26322625</t>
  </si>
  <si>
    <t xml:space="preserve">Акционерное общество "Уралэлектромедь", г.Верхняя Пышма</t>
  </si>
  <si>
    <t xml:space="preserve">26632561</t>
  </si>
  <si>
    <t xml:space="preserve">Акционерное общество "Федеральная пассажирская компания" Уральский филиал АО "ФПК", г. Екатеринбург</t>
  </si>
  <si>
    <t xml:space="preserve">7708709686</t>
  </si>
  <si>
    <t xml:space="preserve">770801001</t>
  </si>
  <si>
    <t xml:space="preserve">26359784</t>
  </si>
  <si>
    <t xml:space="preserve">Акционерное общество "Химический завод "Планта", г.Нижний Тагил</t>
  </si>
  <si>
    <t xml:space="preserve">6623083253</t>
  </si>
  <si>
    <t xml:space="preserve">30-12-2011 00:00:00</t>
  </si>
  <si>
    <t xml:space="preserve">26479568</t>
  </si>
  <si>
    <t xml:space="preserve">Акционерное общество "ЭнергоГенерирующая Компания", г.Екатеринбург</t>
  </si>
  <si>
    <t xml:space="preserve">7709740583</t>
  </si>
  <si>
    <t xml:space="preserve">26359738</t>
  </si>
  <si>
    <t xml:space="preserve">Акционерное общество Большеистокское ремонтно-техническое предприятие с базой снабжения, п.Большой Исток</t>
  </si>
  <si>
    <t xml:space="preserve">6652002058</t>
  </si>
  <si>
    <t xml:space="preserve">28506103</t>
  </si>
  <si>
    <t xml:space="preserve">Березовское муниципальное унитарное предприятие "Березовские тепловые сети", г. Березовский</t>
  </si>
  <si>
    <t xml:space="preserve">6678040996</t>
  </si>
  <si>
    <t xml:space="preserve">12-05-2014 00:00:00</t>
  </si>
  <si>
    <t xml:space="preserve">26479504</t>
  </si>
  <si>
    <t xml:space="preserve">Богдановичский шпалопропиточный завод - филиал открытого акционерного общества "ТрансВудСервис", г.Богданович</t>
  </si>
  <si>
    <t xml:space="preserve">7708670340</t>
  </si>
  <si>
    <t xml:space="preserve">663302001</t>
  </si>
  <si>
    <t xml:space="preserve">11-06-2008 00:00:00</t>
  </si>
  <si>
    <t xml:space="preserve">26479078</t>
  </si>
  <si>
    <t xml:space="preserve">Богдановичское открытое акционерное общество по производству огнеупорных материалов, г.Богданович</t>
  </si>
  <si>
    <t xml:space="preserve">6605001321</t>
  </si>
  <si>
    <t xml:space="preserve">01-11-2002 00:00:00</t>
  </si>
  <si>
    <t xml:space="preserve">27571350</t>
  </si>
  <si>
    <t xml:space="preserve">Бюджетное учреждение культуры  "Слободо-Туринское культурно-досуговое объединение", с.Туринская Слобода</t>
  </si>
  <si>
    <t xml:space="preserve">6651004743</t>
  </si>
  <si>
    <t xml:space="preserve">26479154</t>
  </si>
  <si>
    <t xml:space="preserve">Волчанский механический завод - филиал АО "Научно-производственная корпорация "Уралвагонзавод", г. Волчанск</t>
  </si>
  <si>
    <t xml:space="preserve">661702001</t>
  </si>
  <si>
    <t xml:space="preserve">26359609</t>
  </si>
  <si>
    <t xml:space="preserve">ГАМУ СО "ОСЦМР "Санаторий Руш"</t>
  </si>
  <si>
    <t xml:space="preserve">6623023198</t>
  </si>
  <si>
    <t xml:space="preserve">30917264</t>
  </si>
  <si>
    <t xml:space="preserve">ГАУ "Березовский ПНИ"</t>
  </si>
  <si>
    <t xml:space="preserve">6604004048</t>
  </si>
  <si>
    <t xml:space="preserve">26632507</t>
  </si>
  <si>
    <t xml:space="preserve">Городское эксплуатационно-управленческое учреждение № 1, г.Екатеринбург</t>
  </si>
  <si>
    <t xml:space="preserve">6674100933</t>
  </si>
  <si>
    <t xml:space="preserve">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</si>
  <si>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</si>
  <si>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 xml:space="preserve">525745041</t>
  </si>
  <si>
    <t xml:space="preserve">28176645</t>
  </si>
  <si>
    <t xml:space="preserve">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</si>
  <si>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 xml:space="preserve">6606004237</t>
  </si>
  <si>
    <t xml:space="preserve">26479289</t>
  </si>
  <si>
    <t xml:space="preserve">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</si>
  <si>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 xml:space="preserve">6601004184</t>
  </si>
  <si>
    <t xml:space="preserve">667701001</t>
  </si>
  <si>
    <t xml:space="preserve">27970709</t>
  </si>
  <si>
    <t xml:space="preserve">Государственное автономное учреждение здравоохранения Свердловской области "Областная детская клиническая больница", г. Екатеринбург</t>
  </si>
  <si>
    <t xml:space="preserve">6661002199</t>
  </si>
  <si>
    <t xml:space="preserve">26850799</t>
  </si>
  <si>
    <t xml:space="preserve">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</si>
  <si>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 xml:space="preserve">6628000074</t>
  </si>
  <si>
    <t xml:space="preserve">27583516</t>
  </si>
  <si>
    <t xml:space="preserve">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</si>
  <si>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 xml:space="preserve">6654006354</t>
  </si>
  <si>
    <t xml:space="preserve">26479408</t>
  </si>
  <si>
    <t xml:space="preserve">Государственное автономное учреждение здравоохранения Свердловской области "Психиатрическая больница № 6", г.Екатеринбург</t>
  </si>
  <si>
    <t xml:space="preserve">6664029640</t>
  </si>
  <si>
    <t xml:space="preserve">26479065</t>
  </si>
  <si>
    <t xml:space="preserve">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</si>
  <si>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 xml:space="preserve">6662022984</t>
  </si>
  <si>
    <t xml:space="preserve">26-02-1991 00:00:00</t>
  </si>
  <si>
    <t xml:space="preserve">30796509</t>
  </si>
  <si>
    <t xml:space="preserve">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</si>
  <si>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 xml:space="preserve">6656019750</t>
  </si>
  <si>
    <t xml:space="preserve">26359563</t>
  </si>
  <si>
    <t xml:space="preserve">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</si>
  <si>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 xml:space="preserve">6613001406</t>
  </si>
  <si>
    <t xml:space="preserve">661301001</t>
  </si>
  <si>
    <t xml:space="preserve">31340976</t>
  </si>
  <si>
    <t xml:space="preserve">Государственное бюджетное профессиональное образовательное учреждение Свердловской области "Туринский многопрофильный техникум"</t>
  </si>
  <si>
    <t xml:space="preserve">6656002651</t>
  </si>
  <si>
    <t xml:space="preserve">26359671</t>
  </si>
  <si>
    <t xml:space="preserve">Государственное бюджетное учреждение здравоохранения Свердловской области "Артинская центральная районная больница", п.Арти</t>
  </si>
  <si>
    <t xml:space="preserve">6636002445</t>
  </si>
  <si>
    <t xml:space="preserve">26631889</t>
  </si>
  <si>
    <t xml:space="preserve">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</si>
  <si>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 xml:space="preserve">6640003096</t>
  </si>
  <si>
    <t xml:space="preserve">664001001</t>
  </si>
  <si>
    <t xml:space="preserve">26631881</t>
  </si>
  <si>
    <t xml:space="preserve">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</si>
  <si>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 xml:space="preserve">6639008928</t>
  </si>
  <si>
    <t xml:space="preserve">663901001</t>
  </si>
  <si>
    <t xml:space="preserve">26851338</t>
  </si>
  <si>
    <t xml:space="preserve">Государственное казенное учреждение Свердловской области "Дом ребенка", г.Екатеринбург</t>
  </si>
  <si>
    <t xml:space="preserve">6673226267</t>
  </si>
  <si>
    <t xml:space="preserve">28949946</t>
  </si>
  <si>
    <t xml:space="preserve">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</si>
  <si>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 xml:space="preserve">6621007105</t>
  </si>
  <si>
    <t xml:space="preserve">662101001</t>
  </si>
  <si>
    <t xml:space="preserve">31-03-2015 00:00:00</t>
  </si>
  <si>
    <t xml:space="preserve">26479217</t>
  </si>
  <si>
    <t xml:space="preserve">Государственное образовательное учреждение среднего профессионального образования Свердловский областной медицинский колледж, г.Екатеринбург</t>
  </si>
  <si>
    <t xml:space="preserve">6658041737</t>
  </si>
  <si>
    <t xml:space="preserve">26479162</t>
  </si>
  <si>
    <t xml:space="preserve">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</si>
  <si>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 xml:space="preserve">6613003442</t>
  </si>
  <si>
    <t xml:space="preserve">26322679</t>
  </si>
  <si>
    <t xml:space="preserve">ЕМУП "Многопрофильные энергетические системы", г.Екатеринбург</t>
  </si>
  <si>
    <t xml:space="preserve">6659073594</t>
  </si>
  <si>
    <t xml:space="preserve">26479387</t>
  </si>
  <si>
    <t xml:space="preserve">Екатеринбургская таможня, г.Екатеринбург</t>
  </si>
  <si>
    <t xml:space="preserve">6662022335</t>
  </si>
  <si>
    <t xml:space="preserve">26479108</t>
  </si>
  <si>
    <t xml:space="preserve">Екатеринбургское муниципальное унитарное предприятие "Бодрость", г.Екатеринбург</t>
  </si>
  <si>
    <t xml:space="preserve">6662024043</t>
  </si>
  <si>
    <t xml:space="preserve">666201001</t>
  </si>
  <si>
    <t xml:space="preserve">26479241</t>
  </si>
  <si>
    <t xml:space="preserve">Екатеринбургское муниципальное унитарное предприятие "Екатеринбургский метрополитен", г.Екатеринбург</t>
  </si>
  <si>
    <t xml:space="preserve">6608002436</t>
  </si>
  <si>
    <t xml:space="preserve">26359776</t>
  </si>
  <si>
    <t xml:space="preserve">Закрытое акционерное общество "Завод модульных конструкций "Магнум", г.Екатеринбург</t>
  </si>
  <si>
    <t xml:space="preserve">6660063287</t>
  </si>
  <si>
    <t xml:space="preserve">21-11-1995 00:00:00</t>
  </si>
  <si>
    <t xml:space="preserve">26479572</t>
  </si>
  <si>
    <t xml:space="preserve">Закрытое акционерное общество "Производственное объединение "Режникель", г.Реж</t>
  </si>
  <si>
    <t xml:space="preserve">6628008965</t>
  </si>
  <si>
    <t xml:space="preserve">662801001</t>
  </si>
  <si>
    <t xml:space="preserve">22-01-2010 00:00:00</t>
  </si>
  <si>
    <t xml:space="preserve">26479500</t>
  </si>
  <si>
    <t xml:space="preserve">Закрытое акционерное общество "Техносвязь", г.Екатеринбург</t>
  </si>
  <si>
    <t xml:space="preserve">6661008360</t>
  </si>
  <si>
    <t xml:space="preserve">666101001</t>
  </si>
  <si>
    <t xml:space="preserve">27811649</t>
  </si>
  <si>
    <t xml:space="preserve">Закрытое акционерное общество "Управляющая Компания "Европейское", г.Екатеринбург</t>
  </si>
  <si>
    <t xml:space="preserve">6658374006</t>
  </si>
  <si>
    <t xml:space="preserve">13-08-2012 00:00:00</t>
  </si>
  <si>
    <t xml:space="preserve">26629962</t>
  </si>
  <si>
    <t xml:space="preserve">Закрытое акционерное общество "Управляющая компания "ГорСвет", г. Березовский</t>
  </si>
  <si>
    <t xml:space="preserve">6604016533</t>
  </si>
  <si>
    <t xml:space="preserve">660401001</t>
  </si>
  <si>
    <t xml:space="preserve">26851231</t>
  </si>
  <si>
    <t xml:space="preserve">Закрытое акционерное общество "Уралдиоксид", г.Екатеринбург</t>
  </si>
  <si>
    <t xml:space="preserve">6659109603</t>
  </si>
  <si>
    <t xml:space="preserve">26318611</t>
  </si>
  <si>
    <t xml:space="preserve">Закрытое акционерное общество Межотраслевой концерн "Уралметпром", г.Екатеринбург</t>
  </si>
  <si>
    <t xml:space="preserve">6658038117</t>
  </si>
  <si>
    <t xml:space="preserve">28-03-1995 00:00:00</t>
  </si>
  <si>
    <t xml:space="preserve">30919390</t>
  </si>
  <si>
    <t xml:space="preserve">ИП "Ганиенко Виктор Владимирович"</t>
  </si>
  <si>
    <t xml:space="preserve">666101143755</t>
  </si>
  <si>
    <t xml:space="preserve">31223137</t>
  </si>
  <si>
    <t xml:space="preserve">ИП Бондарь Юрий Владимирович, г. Екатеринбург</t>
  </si>
  <si>
    <t xml:space="preserve">662606584715</t>
  </si>
  <si>
    <t xml:space="preserve">30830236</t>
  </si>
  <si>
    <t xml:space="preserve">ИП Глава крестьянского (фермерского) хозяйства Балакин Илья Сергеевич, с. Рудное</t>
  </si>
  <si>
    <t xml:space="preserve">661107518419</t>
  </si>
  <si>
    <t xml:space="preserve">31717300</t>
  </si>
  <si>
    <t xml:space="preserve">ИП Жуков Денис Александрович</t>
  </si>
  <si>
    <t xml:space="preserve">666301098700</t>
  </si>
  <si>
    <t xml:space="preserve">30988136</t>
  </si>
  <si>
    <t xml:space="preserve">ИП Зяблицева Галина Ивановна, г.Екатеринбург</t>
  </si>
  <si>
    <t xml:space="preserve">666000306481</t>
  </si>
  <si>
    <t xml:space="preserve">31371736</t>
  </si>
  <si>
    <t xml:space="preserve">ИП Лисицын Сергей Александрович</t>
  </si>
  <si>
    <t xml:space="preserve">661304672434</t>
  </si>
  <si>
    <t xml:space="preserve">31222517</t>
  </si>
  <si>
    <t xml:space="preserve">ИП Оболенская Татьяна Николаевна</t>
  </si>
  <si>
    <t xml:space="preserve">661907810525</t>
  </si>
  <si>
    <t xml:space="preserve">31542711</t>
  </si>
  <si>
    <t xml:space="preserve">ИП Панов В.А.</t>
  </si>
  <si>
    <t xml:space="preserve">660101777750</t>
  </si>
  <si>
    <t xml:space="preserve">30847320</t>
  </si>
  <si>
    <t xml:space="preserve">Индивидуальный предприниматель Алферов Денис Евгеньевич</t>
  </si>
  <si>
    <t xml:space="preserve">667356763235</t>
  </si>
  <si>
    <t xml:space="preserve">26359556</t>
  </si>
  <si>
    <t xml:space="preserve">Индивидуальный предприниматель Балакин Сергей Михайлович, с.Рудное</t>
  </si>
  <si>
    <t xml:space="preserve">661101559056</t>
  </si>
  <si>
    <t xml:space="preserve">28425062</t>
  </si>
  <si>
    <t xml:space="preserve">Индивидуальный предприниматель Бахтияров Ислахат Джалал оглы</t>
  </si>
  <si>
    <t xml:space="preserve">664000713807</t>
  </si>
  <si>
    <t xml:space="preserve">11-11-2013 00:00:00</t>
  </si>
  <si>
    <t xml:space="preserve">28827668</t>
  </si>
  <si>
    <t xml:space="preserve">Индивидуальный предприниматель Захаров Дмитрий Андреевич, г. Камышлов</t>
  </si>
  <si>
    <t xml:space="preserve">661304890785</t>
  </si>
  <si>
    <t xml:space="preserve">13-11-2014 00:00:00</t>
  </si>
  <si>
    <t xml:space="preserve">26482358</t>
  </si>
  <si>
    <t xml:space="preserve">Индивидуальный предприниматель Камень Михаил Николаевич, г.Ирбит</t>
  </si>
  <si>
    <t xml:space="preserve">661100301343</t>
  </si>
  <si>
    <t xml:space="preserve">26482360</t>
  </si>
  <si>
    <t xml:space="preserve">Индивидуальный предприниматель Кривых Евгений Николаевич, г.Ирбит</t>
  </si>
  <si>
    <t xml:space="preserve">661100380200</t>
  </si>
  <si>
    <t xml:space="preserve">28061121</t>
  </si>
  <si>
    <t xml:space="preserve">Индивидуальный предприниматель Новосёлов Леонид Иванович, с. Ницинское</t>
  </si>
  <si>
    <t xml:space="preserve">664200030100</t>
  </si>
  <si>
    <t xml:space="preserve">31338170</t>
  </si>
  <si>
    <t xml:space="preserve">Индивидуальный предприниматель Туснолобов Алексей Васильевич</t>
  </si>
  <si>
    <t xml:space="preserve">663210005622</t>
  </si>
  <si>
    <t xml:space="preserve">26479359</t>
  </si>
  <si>
    <t xml:space="preserve">Исетский щебеночный завод - филиал открытого акционерного общества "Первая нерудная компания", п.Исеть</t>
  </si>
  <si>
    <t xml:space="preserve">7708670326</t>
  </si>
  <si>
    <t xml:space="preserve">660602001</t>
  </si>
  <si>
    <t xml:space="preserve">26631818</t>
  </si>
  <si>
    <t xml:space="preserve">Кировградское муниципальное предприятие "Благоустройство", г.Кировград</t>
  </si>
  <si>
    <t xml:space="preserve">6621017343</t>
  </si>
  <si>
    <t xml:space="preserve">26359693</t>
  </si>
  <si>
    <t xml:space="preserve">Колхоз "Урал", с.Черновское</t>
  </si>
  <si>
    <t xml:space="preserve">6642000171</t>
  </si>
  <si>
    <t xml:space="preserve">31171581</t>
  </si>
  <si>
    <t xml:space="preserve">МБДОУ "Детский сад №5 общеразвивающего вида с приоритетным осуществлением деятельности по физическому направлению развития детей", с. Мелкозерово</t>
  </si>
  <si>
    <t xml:space="preserve">6601006985</t>
  </si>
  <si>
    <t xml:space="preserve">31528065</t>
  </si>
  <si>
    <t xml:space="preserve">МКП "Обуховское"</t>
  </si>
  <si>
    <t xml:space="preserve">6633029311</t>
  </si>
  <si>
    <t xml:space="preserve">31601739</t>
  </si>
  <si>
    <t xml:space="preserve">МУП "Горноуральская теплоснабжающая компания"</t>
  </si>
  <si>
    <t xml:space="preserve">6623140695</t>
  </si>
  <si>
    <t xml:space="preserve">31184996</t>
  </si>
  <si>
    <t xml:space="preserve">МУП "Красноуральское теплоснабжающее предприятие", г. Красноуральск</t>
  </si>
  <si>
    <t xml:space="preserve">6681009883</t>
  </si>
  <si>
    <t xml:space="preserve">31696004</t>
  </si>
  <si>
    <t xml:space="preserve">МУП "Обуховское"</t>
  </si>
  <si>
    <t xml:space="preserve">6633030476</t>
  </si>
  <si>
    <t xml:space="preserve">30985367</t>
  </si>
  <si>
    <t xml:space="preserve">МУП "Пригородная компания выработки тепловой энергии", р.п. Горноуральский</t>
  </si>
  <si>
    <t xml:space="preserve">6623124189</t>
  </si>
  <si>
    <t xml:space="preserve">31359241</t>
  </si>
  <si>
    <t xml:space="preserve">МУП "Пригородная теплоснабжающая компания"</t>
  </si>
  <si>
    <t xml:space="preserve">6623132824</t>
  </si>
  <si>
    <t xml:space="preserve">31695978</t>
  </si>
  <si>
    <t xml:space="preserve">МУП "ТеплоМал"</t>
  </si>
  <si>
    <t xml:space="preserve">6683020794</t>
  </si>
  <si>
    <t xml:space="preserve">31603781</t>
  </si>
  <si>
    <t xml:space="preserve">МУП "ТеплоСевер-Плюс"</t>
  </si>
  <si>
    <t xml:space="preserve">6617029138</t>
  </si>
  <si>
    <t xml:space="preserve">31737745</t>
  </si>
  <si>
    <t xml:space="preserve">МУП "Тепловые сети муниципального образования Алапаевское"</t>
  </si>
  <si>
    <t xml:space="preserve">6677017850</t>
  </si>
  <si>
    <t xml:space="preserve">31743844</t>
  </si>
  <si>
    <t xml:space="preserve">МУП "Теплоресурс"</t>
  </si>
  <si>
    <t xml:space="preserve">6612058872</t>
  </si>
  <si>
    <t xml:space="preserve">31357001</t>
  </si>
  <si>
    <t xml:space="preserve">МУП "Теплоснабжающая организация городского округа Богданович"</t>
  </si>
  <si>
    <t xml:space="preserve">6633028188</t>
  </si>
  <si>
    <t xml:space="preserve">31171996</t>
  </si>
  <si>
    <t xml:space="preserve">МУП "Теплоснабжение" Белоярского городского округа</t>
  </si>
  <si>
    <t xml:space="preserve">6683014430</t>
  </si>
  <si>
    <t xml:space="preserve">31169621</t>
  </si>
  <si>
    <t xml:space="preserve">МУП "Тура Энерго", г. Верхняя Тура</t>
  </si>
  <si>
    <t xml:space="preserve">6681009971</t>
  </si>
  <si>
    <t xml:space="preserve">28820960</t>
  </si>
  <si>
    <t xml:space="preserve">МУП "Управляющая компания "Потенциал", г. Верхний Тагил</t>
  </si>
  <si>
    <t xml:space="preserve">6621015963</t>
  </si>
  <si>
    <t xml:space="preserve">24-10-2014 00:00:00</t>
  </si>
  <si>
    <t xml:space="preserve">31653162</t>
  </si>
  <si>
    <t xml:space="preserve">МУП «Городские тепловые сети Михайловска»</t>
  </si>
  <si>
    <t xml:space="preserve">6619027182</t>
  </si>
  <si>
    <t xml:space="preserve">31470252</t>
  </si>
  <si>
    <t xml:space="preserve">МУП «Тепловодоснабжение КГО» (поселок городского типа Мартюш)</t>
  </si>
  <si>
    <t xml:space="preserve">6612054853</t>
  </si>
  <si>
    <t xml:space="preserve">31737759</t>
  </si>
  <si>
    <t xml:space="preserve">МУП Верхнесалдинского ГО "Верхнесалдинские коммунальные системы"</t>
  </si>
  <si>
    <t xml:space="preserve">6623144562</t>
  </si>
  <si>
    <t xml:space="preserve">30982441</t>
  </si>
  <si>
    <t xml:space="preserve">МУП Тавдинского городского округа "Тавдинские инженерные системы", г. Тавда</t>
  </si>
  <si>
    <t xml:space="preserve">6676005900</t>
  </si>
  <si>
    <t xml:space="preserve">26631910</t>
  </si>
  <si>
    <t xml:space="preserve">Муниципальное автономное общеобразовательное учреждение "Сладковская средняя общеобразовательная школа", с.Сладковское</t>
  </si>
  <si>
    <t xml:space="preserve">6651002680</t>
  </si>
  <si>
    <t xml:space="preserve">665100268</t>
  </si>
  <si>
    <t xml:space="preserve">26479612</t>
  </si>
  <si>
    <t xml:space="preserve">Муниципальное автономное учреждение "Жилищно-коммунальное хозяйство", п.Дружинино</t>
  </si>
  <si>
    <t xml:space="preserve">6646015563</t>
  </si>
  <si>
    <t xml:space="preserve">664601001</t>
  </si>
  <si>
    <t xml:space="preserve">26479063</t>
  </si>
  <si>
    <t xml:space="preserve">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</si>
  <si>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 xml:space="preserve">6601006738</t>
  </si>
  <si>
    <t xml:space="preserve">660101001</t>
  </si>
  <si>
    <t xml:space="preserve">26359680</t>
  </si>
  <si>
    <t xml:space="preserve">Муниципальное дошкольное образовательное учреждение Еланский детский сад "Колосок" общеразвивающего вида, с.Елань</t>
  </si>
  <si>
    <t xml:space="preserve">6638002313</t>
  </si>
  <si>
    <t xml:space="preserve">663801001</t>
  </si>
  <si>
    <t xml:space="preserve">26479472</t>
  </si>
  <si>
    <t xml:space="preserve">Муниципальное жилищно-коммунальное унитарное предприятие "Арамашка", с.Арамашка</t>
  </si>
  <si>
    <t xml:space="preserve">6628015715</t>
  </si>
  <si>
    <t xml:space="preserve">02-09-2009 00:00:00</t>
  </si>
  <si>
    <t xml:space="preserve">26359630</t>
  </si>
  <si>
    <t xml:space="preserve">Муниципальное жилищно-коммунальное унитарное предприятие "Глинское", с.Глинское</t>
  </si>
  <si>
    <t xml:space="preserve">6628011661</t>
  </si>
  <si>
    <t xml:space="preserve">27-12-2003 00:00:00</t>
  </si>
  <si>
    <t xml:space="preserve">26359634</t>
  </si>
  <si>
    <t xml:space="preserve">Муниципальное жилищно-коммунальное унитарное предприятие "Клевакинский", с.Клевакинское</t>
  </si>
  <si>
    <t xml:space="preserve">6628011750</t>
  </si>
  <si>
    <t xml:space="preserve">22-12-2003 00:00:00</t>
  </si>
  <si>
    <t xml:space="preserve">26359633</t>
  </si>
  <si>
    <t xml:space="preserve">Муниципальное жилищно-коммунальное унитарное предприятие "Липовский", с.Липовское</t>
  </si>
  <si>
    <t xml:space="preserve">6628011742</t>
  </si>
  <si>
    <t xml:space="preserve">21-10-2003 00:00:00</t>
  </si>
  <si>
    <t xml:space="preserve">26359632</t>
  </si>
  <si>
    <t xml:space="preserve">Муниципальное жилищно-коммунальное унитарное предприятие "Черемисский", с.Черемисское</t>
  </si>
  <si>
    <t xml:space="preserve">6628011735</t>
  </si>
  <si>
    <t xml:space="preserve">26359676</t>
  </si>
  <si>
    <t xml:space="preserve">Муниципальное казённое общеобразовательное учреждение Ляпуновская средняя общеобразовательная школа, с.Ляпуново</t>
  </si>
  <si>
    <t xml:space="preserve">6638002070</t>
  </si>
  <si>
    <t xml:space="preserve">26359678</t>
  </si>
  <si>
    <t xml:space="preserve">Муниципальное казённое общеобразовательное учреждение Пелевинская основная общеобразовательная школа, д. Пелевина</t>
  </si>
  <si>
    <t xml:space="preserve">6638002151</t>
  </si>
  <si>
    <t xml:space="preserve">26359677</t>
  </si>
  <si>
    <t xml:space="preserve">Муниципальное казенное общеобразовательное учреждение Городищенская средняя общеобразовательная школа, с. Городище</t>
  </si>
  <si>
    <t xml:space="preserve">6638002105</t>
  </si>
  <si>
    <t xml:space="preserve">26572613</t>
  </si>
  <si>
    <t xml:space="preserve">Муниципальное казенное предприятие "Энергокомплекс" Асбестовского городского округа, п.Белокаменный</t>
  </si>
  <si>
    <t xml:space="preserve">6603023506</t>
  </si>
  <si>
    <t xml:space="preserve">06-04-2010 00:00:00</t>
  </si>
  <si>
    <t xml:space="preserve">26359523</t>
  </si>
  <si>
    <t xml:space="preserve">Муниципальное унитарное объединенное предприятие "Рефтинское" городского округа Рефтинский, п.Рефтинский</t>
  </si>
  <si>
    <t xml:space="preserve">6603020368</t>
  </si>
  <si>
    <t xml:space="preserve">27786391</t>
  </si>
  <si>
    <t xml:space="preserve">Муниципальное унитарное предприятие "Арамиль-Тепло", г.Арамиль</t>
  </si>
  <si>
    <t xml:space="preserve">6685012118</t>
  </si>
  <si>
    <t xml:space="preserve">15-06-2012 00:00:00</t>
  </si>
  <si>
    <t xml:space="preserve">26631875</t>
  </si>
  <si>
    <t xml:space="preserve">Муниципальное унитарное предприятие "Богдановичские тепловые сети", г.Богданович</t>
  </si>
  <si>
    <t xml:space="preserve">6633016986</t>
  </si>
  <si>
    <t xml:space="preserve">28254710</t>
  </si>
  <si>
    <t xml:space="preserve">Муниципальное унитарное предприятие "Волчанский теплоэнергетический комплекс", г. Волчанск</t>
  </si>
  <si>
    <t xml:space="preserve">6617022735</t>
  </si>
  <si>
    <t xml:space="preserve">08-08-2013 00:00:00</t>
  </si>
  <si>
    <t xml:space="preserve">28016301</t>
  </si>
  <si>
    <t xml:space="preserve">Муниципальное унитарное предприятие "Восточное коммунальное хозяйство", п. Восточный</t>
  </si>
  <si>
    <t xml:space="preserve">6633019070</t>
  </si>
  <si>
    <t xml:space="preserve">26359547</t>
  </si>
  <si>
    <t xml:space="preserve">Муниципальное унитарное предприятие "Городское управление жилищно-коммунального хозяйства", г.Верхняя Салда</t>
  </si>
  <si>
    <t xml:space="preserve">6607001454</t>
  </si>
  <si>
    <t xml:space="preserve">22-01-1996 00:00:00</t>
  </si>
  <si>
    <t xml:space="preserve">26359522</t>
  </si>
  <si>
    <t xml:space="preserve">Муниципальное унитарное предприятие "Горэнерго" Муниципального образования г.Асбест</t>
  </si>
  <si>
    <t xml:space="preserve">6603002457</t>
  </si>
  <si>
    <t xml:space="preserve">10-01-1994 00:00:00</t>
  </si>
  <si>
    <t xml:space="preserve">28044397</t>
  </si>
  <si>
    <t xml:space="preserve">Муниципальное унитарное предприятие "Единая управляющая организация", г. Талица</t>
  </si>
  <si>
    <t xml:space="preserve">6633019176</t>
  </si>
  <si>
    <t xml:space="preserve">665401001</t>
  </si>
  <si>
    <t xml:space="preserve">26479450</t>
  </si>
  <si>
    <t xml:space="preserve">Муниципальное унитарное предприятие "Екатеринбургэнерго", г.Екатеринбург</t>
  </si>
  <si>
    <t xml:space="preserve">6608002884</t>
  </si>
  <si>
    <t xml:space="preserve">27-11-1991 00:00:00</t>
  </si>
  <si>
    <t xml:space="preserve">27976466</t>
  </si>
  <si>
    <t xml:space="preserve">Муниципальное унитарное предприятие "ЖКХ ГО Староуткинск", п. Староуткинск</t>
  </si>
  <si>
    <t xml:space="preserve">6684002364</t>
  </si>
  <si>
    <t xml:space="preserve">26850711</t>
  </si>
  <si>
    <t xml:space="preserve">Муниципальное унитарное предприятие "Жилищно-коммунальное хозяйство Ирбитского района", п.Пионерский</t>
  </si>
  <si>
    <t xml:space="preserve">6611014336</t>
  </si>
  <si>
    <t xml:space="preserve">30365914</t>
  </si>
  <si>
    <t xml:space="preserve">Муниципальное унитарное предприятие "Жилищно-коммунальное хозяйство Наш дом" Кленовского сельского поселения, с. Кленовское</t>
  </si>
  <si>
    <t xml:space="preserve">6619016857</t>
  </si>
  <si>
    <t xml:space="preserve">27887349</t>
  </si>
  <si>
    <t xml:space="preserve">Муниципальное унитарное предприятие "Жилищно-коммунальное хозяйство" Дружининского городского поселения, п. Дружинино</t>
  </si>
  <si>
    <t xml:space="preserve">6619014666</t>
  </si>
  <si>
    <t xml:space="preserve">26-07-2012 00:00:00</t>
  </si>
  <si>
    <t xml:space="preserve">26382715</t>
  </si>
  <si>
    <t xml:space="preserve">Муниципальное унитарное предприятие "Жилищно-коммунальное хозяйство" МО "р.п.Верхнее Дуброво", р.п.Верхнее Дуброво</t>
  </si>
  <si>
    <t xml:space="preserve">6639009336</t>
  </si>
  <si>
    <t xml:space="preserve">04-11-2002 00:00:00</t>
  </si>
  <si>
    <t xml:space="preserve">27865437</t>
  </si>
  <si>
    <t xml:space="preserve">Муниципальное унитарное предприятие "Жилищно-коммунальное хозяйство" Махнёвского муниципального образования, п. Махнёво</t>
  </si>
  <si>
    <t xml:space="preserve">6677001923</t>
  </si>
  <si>
    <t xml:space="preserve">30418950</t>
  </si>
  <si>
    <t xml:space="preserve">Муниципальное унитарное предприятие "Жилищно-коммунальное хозяйство" муниципального образования рабочий поселок Атиг, п. Атиг</t>
  </si>
  <si>
    <t xml:space="preserve">6619017667</t>
  </si>
  <si>
    <t xml:space="preserve">26631942</t>
  </si>
  <si>
    <t xml:space="preserve">Муниципальное унитарное предприятие "Жилкомсервис" Усть-Ницинского сельского поселения, с.Усть-Ницинское</t>
  </si>
  <si>
    <t xml:space="preserve">6656019366</t>
  </si>
  <si>
    <t xml:space="preserve">25-02-2009 00:00:00</t>
  </si>
  <si>
    <t xml:space="preserve">28983550</t>
  </si>
  <si>
    <t xml:space="preserve">Муниципальное унитарное предприятие "Жилкомсервис-СЛ", г. Сухой Лог</t>
  </si>
  <si>
    <t xml:space="preserve">6633023687</t>
  </si>
  <si>
    <t xml:space="preserve">30-07-2015 00:00:00</t>
  </si>
  <si>
    <t xml:space="preserve">28450803</t>
  </si>
  <si>
    <t xml:space="preserve">Муниципальное унитарное предприятие "Зареченское"</t>
  </si>
  <si>
    <t xml:space="preserve">6633020968</t>
  </si>
  <si>
    <t xml:space="preserve">09-01-2014 00:00:00</t>
  </si>
  <si>
    <t xml:space="preserve">27916318</t>
  </si>
  <si>
    <t xml:space="preserve">Муниципальное унитарное предприятие "Каменская сетевая компания", г. Каменск-Уральский</t>
  </si>
  <si>
    <t xml:space="preserve">6612038259</t>
  </si>
  <si>
    <t xml:space="preserve">28547562</t>
  </si>
  <si>
    <t xml:space="preserve">Муниципальное унитарное предприятие "Коммунальные сети", п. Заря</t>
  </si>
  <si>
    <t xml:space="preserve">6677004353</t>
  </si>
  <si>
    <t xml:space="preserve">23-07-2014 00:00:00</t>
  </si>
  <si>
    <t xml:space="preserve">27752206</t>
  </si>
  <si>
    <t xml:space="preserve">Муниципальное унитарное предприятие "Комэнергоресурс", г.Североуральск</t>
  </si>
  <si>
    <t xml:space="preserve">6617020914</t>
  </si>
  <si>
    <t xml:space="preserve">12-05-2012 00:00:00</t>
  </si>
  <si>
    <t xml:space="preserve">26359734</t>
  </si>
  <si>
    <t xml:space="preserve">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</si>
  <si>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 xml:space="preserve">6651004260</t>
  </si>
  <si>
    <t xml:space="preserve">29650655</t>
  </si>
  <si>
    <t xml:space="preserve">Муниципальное унитарное предприятие "Новые технологии" Белоярского городского округа, р.л. Белоярский</t>
  </si>
  <si>
    <t xml:space="preserve">6683008067</t>
  </si>
  <si>
    <t xml:space="preserve">26359692</t>
  </si>
  <si>
    <t xml:space="preserve">Муниципальное унитарное предприятие "Отдел по благоустройству администрации Муниципального образования "Гаринский район", п.Гари</t>
  </si>
  <si>
    <t xml:space="preserve">6641000718</t>
  </si>
  <si>
    <t xml:space="preserve">664101001</t>
  </si>
  <si>
    <t xml:space="preserve">29645640</t>
  </si>
  <si>
    <t xml:space="preserve">Муниципальное унитарное предприятие "Пригородные тепловые сети", п. Новоасбест</t>
  </si>
  <si>
    <t xml:space="preserve">6623111077</t>
  </si>
  <si>
    <t xml:space="preserve">17-08-2015 00:00:00</t>
  </si>
  <si>
    <t xml:space="preserve">28982889</t>
  </si>
  <si>
    <t xml:space="preserve">Муниципальное унитарное предприятие "Ресурс", г. Карпинск</t>
  </si>
  <si>
    <t xml:space="preserve">6614001840</t>
  </si>
  <si>
    <t xml:space="preserve">27-07-2015 00:00:00</t>
  </si>
  <si>
    <t xml:space="preserve">28985538</t>
  </si>
  <si>
    <t xml:space="preserve">Муниципальное унитарное предприятие "Ресурсоснабжающая организация", г. Камышлов</t>
  </si>
  <si>
    <t xml:space="preserve">6633022852</t>
  </si>
  <si>
    <t xml:space="preserve">11-08-2015 00:00:00</t>
  </si>
  <si>
    <t xml:space="preserve">28814783</t>
  </si>
  <si>
    <t xml:space="preserve">Муниципальное унитарное предприятие "САЛДАЭНЕРГО", г. Нижняя Салда</t>
  </si>
  <si>
    <t xml:space="preserve">6623104190</t>
  </si>
  <si>
    <t xml:space="preserve">19-09-2014 00:00:00</t>
  </si>
  <si>
    <t xml:space="preserve">26631944</t>
  </si>
  <si>
    <t xml:space="preserve">Муниципальное унитарное предприятие "Сладковское жилищно-коммунальное хозяйство", с.Сладковское</t>
  </si>
  <si>
    <t xml:space="preserve">6656019736</t>
  </si>
  <si>
    <t xml:space="preserve">14-07-2010 00:00:00</t>
  </si>
  <si>
    <t xml:space="preserve">28983559</t>
  </si>
  <si>
    <t xml:space="preserve">Муниципальное унитарное предприятие "Слободо-Туринское ЖКХ Плюс" Слободо-Туринского с.п., с.Туринская Слобода</t>
  </si>
  <si>
    <t xml:space="preserve">6676004093</t>
  </si>
  <si>
    <t xml:space="preserve">28536153</t>
  </si>
  <si>
    <t xml:space="preserve">Муниципальное унитарное предприятие "Слободо-Туринское ЖКХ"</t>
  </si>
  <si>
    <t xml:space="preserve">6676002480</t>
  </si>
  <si>
    <t xml:space="preserve">26-06-2014 00:00:00</t>
  </si>
  <si>
    <t xml:space="preserve">26480982</t>
  </si>
  <si>
    <t xml:space="preserve">Муниципальное унитарное предприятие "Тагилэнерго", г.Нижний Тагил</t>
  </si>
  <si>
    <t xml:space="preserve">6668016401</t>
  </si>
  <si>
    <t xml:space="preserve">28966419</t>
  </si>
  <si>
    <t xml:space="preserve">Муниципальное унитарное предприятие "Тепловые сети Верхние Серги", п. Верхние Серги</t>
  </si>
  <si>
    <t xml:space="preserve">6619016705</t>
  </si>
  <si>
    <t xml:space="preserve">07-05-2015 00:00:00</t>
  </si>
  <si>
    <t xml:space="preserve">26479180</t>
  </si>
  <si>
    <t xml:space="preserve">Муниципальное унитарное предприятие "Тепловые сети г.Михайловск", г.Михайловск</t>
  </si>
  <si>
    <t xml:space="preserve">6646009457</t>
  </si>
  <si>
    <t xml:space="preserve">18-10-2002 00:00:00</t>
  </si>
  <si>
    <t xml:space="preserve">28261865</t>
  </si>
  <si>
    <t xml:space="preserve">Муниципальное унитарное предприятие "Теплосистемы" Махневского муниципального образования, п.г.т. Махнево</t>
  </si>
  <si>
    <t xml:space="preserve">6677003649</t>
  </si>
  <si>
    <t xml:space="preserve">26-08-2013 00:00:00</t>
  </si>
  <si>
    <t xml:space="preserve">28821267</t>
  </si>
  <si>
    <t xml:space="preserve">Муниципальное унитарное предприятие "Теплоснабжающая компания городского округа Дегтярск", г. Дегтярск</t>
  </si>
  <si>
    <t xml:space="preserve">6684016487</t>
  </si>
  <si>
    <t xml:space="preserve">28-10-2014 00:00:00</t>
  </si>
  <si>
    <t xml:space="preserve">31193616</t>
  </si>
  <si>
    <t xml:space="preserve">Муниципальное унитарное предприятие "Теплоснабжающая организация", г. Камышлов</t>
  </si>
  <si>
    <t xml:space="preserve">6633027138</t>
  </si>
  <si>
    <t xml:space="preserve">27568659</t>
  </si>
  <si>
    <t xml:space="preserve">Муниципальное унитарное предприятие "Территория" Невьянского городского округа, г. Невьянск</t>
  </si>
  <si>
    <t xml:space="preserve">6621018403</t>
  </si>
  <si>
    <t xml:space="preserve">13-07-2011 00:00:00</t>
  </si>
  <si>
    <t xml:space="preserve">26479402</t>
  </si>
  <si>
    <t xml:space="preserve">Муниципальное унитарное предприятие "Техническое обслуживание и домоуправление", г.Лесной</t>
  </si>
  <si>
    <t xml:space="preserve">6630010880</t>
  </si>
  <si>
    <t xml:space="preserve">663001001</t>
  </si>
  <si>
    <t xml:space="preserve">27-12-2005 00:00:00</t>
  </si>
  <si>
    <t xml:space="preserve">26850686</t>
  </si>
  <si>
    <t xml:space="preserve">Муниципальное унитарное предприятие "Управление капитального строительства города Екатеринбурга", г.Екатеринбург</t>
  </si>
  <si>
    <t xml:space="preserve">6608002926</t>
  </si>
  <si>
    <t xml:space="preserve">26850791</t>
  </si>
  <si>
    <t xml:space="preserve">Муниципальное унитарное предприятие "Управление коммунальным комплексом", г.Краснотурьинск</t>
  </si>
  <si>
    <t xml:space="preserve">6617009318</t>
  </si>
  <si>
    <t xml:space="preserve">14-07-2004 00:00:00</t>
  </si>
  <si>
    <t xml:space="preserve">28829233</t>
  </si>
  <si>
    <t xml:space="preserve">Муниципальное унитарное предприятие "Энергоресурс г. Нижние Серги", г. Нижние Серги</t>
  </si>
  <si>
    <t xml:space="preserve">6619016670</t>
  </si>
  <si>
    <t xml:space="preserve">25-11-2014 00:00:00</t>
  </si>
  <si>
    <t xml:space="preserve">26359584</t>
  </si>
  <si>
    <t xml:space="preserve">Муниципальное унитарное предприятие "Энергосервис" муниципального образования Красноуфимский район, п.Березовая роща</t>
  </si>
  <si>
    <t xml:space="preserve">6619009120</t>
  </si>
  <si>
    <t xml:space="preserve">06-01-2004 00:00:00</t>
  </si>
  <si>
    <t xml:space="preserve">26479492</t>
  </si>
  <si>
    <t xml:space="preserve">Муниципальное унитарное предприятие "Энергосети", г.Лесной</t>
  </si>
  <si>
    <t xml:space="preserve">6630000297</t>
  </si>
  <si>
    <t xml:space="preserve">26359515</t>
  </si>
  <si>
    <t xml:space="preserve">Муниципальное унитарное предприятие Артемовского городского округа "Лебедкинское жилищно-коммунальное хозяйство", с.Лебедкино</t>
  </si>
  <si>
    <t xml:space="preserve">6602011297</t>
  </si>
  <si>
    <t xml:space="preserve">26359514</t>
  </si>
  <si>
    <t xml:space="preserve">Муниципальное унитарное предприятие Артемовского городского округа "Мироновское жилищно-коммунальное хозяйство", с.Мироново</t>
  </si>
  <si>
    <t xml:space="preserve">6602011280</t>
  </si>
  <si>
    <t xml:space="preserve">26359513</t>
  </si>
  <si>
    <t xml:space="preserve">Муниципальное унитарное предприятие Артемовского городского округа "Мостовское жилищно-коммунальное хозяйство", с.Мостовское</t>
  </si>
  <si>
    <t xml:space="preserve">6602011272</t>
  </si>
  <si>
    <t xml:space="preserve">26359518</t>
  </si>
  <si>
    <t xml:space="preserve">Муниципальное унитарное предприятие Артемовского городского округа "Покровское жилищно-коммунальное хозяйство", с.Покровское</t>
  </si>
  <si>
    <t xml:space="preserve">6602011321</t>
  </si>
  <si>
    <t xml:space="preserve">02-08-2007 00:00:00</t>
  </si>
  <si>
    <t xml:space="preserve">28141262</t>
  </si>
  <si>
    <t xml:space="preserve">Муниципальное унитарное предприятие Артемовского городского округа "Прогресс", г. Артемовский</t>
  </si>
  <si>
    <t xml:space="preserve">6677002412</t>
  </si>
  <si>
    <t xml:space="preserve">12-04-2013 00:00:00</t>
  </si>
  <si>
    <t xml:space="preserve">26359674</t>
  </si>
  <si>
    <t xml:space="preserve">Муниципальное унитарное предприятие Артинского городского округа "Теплотехника", п. Арти</t>
  </si>
  <si>
    <t xml:space="preserve">6636006383</t>
  </si>
  <si>
    <t xml:space="preserve">27554195</t>
  </si>
  <si>
    <t xml:space="preserve">Муниципальное унитарное предприятие Качканарского городского округа «Городские энергосистемы», г.Качканар</t>
  </si>
  <si>
    <t xml:space="preserve">6615015316</t>
  </si>
  <si>
    <t xml:space="preserve">01-11-2011 00:00:00</t>
  </si>
  <si>
    <t xml:space="preserve">30354061</t>
  </si>
  <si>
    <t xml:space="preserve">Муниципальное унитарное предприятие Муниципального образования город Алапаевск "Энерготепло", г. Алапаевск</t>
  </si>
  <si>
    <t xml:space="preserve">6677008284</t>
  </si>
  <si>
    <t xml:space="preserve">28797357</t>
  </si>
  <si>
    <t xml:space="preserve">Муниципальное унитарное предприятие Муниципального образования город Ирбит "Городские тепловые сети", г. Ирбит</t>
  </si>
  <si>
    <t xml:space="preserve">6676003170</t>
  </si>
  <si>
    <t xml:space="preserve">22-08-2014 00:00:00</t>
  </si>
  <si>
    <t xml:space="preserve">26593099</t>
  </si>
  <si>
    <t xml:space="preserve">Муниципальное унитарное предприятие Новолялинского городского округа "Газовое хозяйство", г.Новая Ляля</t>
  </si>
  <si>
    <t xml:space="preserve">6647004846</t>
  </si>
  <si>
    <t xml:space="preserve">668001001</t>
  </si>
  <si>
    <t xml:space="preserve">26359638</t>
  </si>
  <si>
    <t xml:space="preserve">Муниципальное унитарное предприятие Новоуральского городского округа "Водогрейная котельная", г.Новоуральск</t>
  </si>
  <si>
    <t xml:space="preserve">6629012989</t>
  </si>
  <si>
    <t xml:space="preserve">26359729</t>
  </si>
  <si>
    <t xml:space="preserve">Муниципальное унитарное предприятие Пышминского городского округа "Аварийно-восстановительная служба", р.п.Пышма</t>
  </si>
  <si>
    <t xml:space="preserve">6649003453</t>
  </si>
  <si>
    <t xml:space="preserve">30335417</t>
  </si>
  <si>
    <t xml:space="preserve">Муниципальное унитарное предприятие Режевского городского округа "РежПром", г. Реж</t>
  </si>
  <si>
    <t xml:space="preserve">6628015948</t>
  </si>
  <si>
    <t xml:space="preserve">01-09-2015 00:00:00</t>
  </si>
  <si>
    <t xml:space="preserve">26359664</t>
  </si>
  <si>
    <t xml:space="preserve">Муниципальное унитарное предприятие Таборинского сельского поселения "Теплосеть", с.Таборы</t>
  </si>
  <si>
    <t xml:space="preserve">6634010634</t>
  </si>
  <si>
    <t xml:space="preserve">663401001</t>
  </si>
  <si>
    <t xml:space="preserve">31194594</t>
  </si>
  <si>
    <t xml:space="preserve">Муниципальное унитарное предприятие Талицкого городского округа "Теплоресурс", г. Талица</t>
  </si>
  <si>
    <t xml:space="preserve">6633027113</t>
  </si>
  <si>
    <t xml:space="preserve">28545529</t>
  </si>
  <si>
    <t xml:space="preserve">Муниципальное унитарное предприятие Талицкого городского округа "Теплосетевая компания", г. Талица</t>
  </si>
  <si>
    <t xml:space="preserve">6633021369</t>
  </si>
  <si>
    <t xml:space="preserve">10-07-2014 00:00:00</t>
  </si>
  <si>
    <t xml:space="preserve">26479524</t>
  </si>
  <si>
    <t xml:space="preserve">Муниципальное унитарное предприятие Шалинского городского округа "Сылвинское жилищно-коммунальное хозяйство", с.Сылва</t>
  </si>
  <si>
    <t xml:space="preserve">6625047010</t>
  </si>
  <si>
    <t xml:space="preserve">26479416</t>
  </si>
  <si>
    <t xml:space="preserve">Муниципальное унитарное предприятие Шалинского городского округа "Шалинская жилищно-коммунальная служба", п.Шаля</t>
  </si>
  <si>
    <t xml:space="preserve">6625053455</t>
  </si>
  <si>
    <t xml:space="preserve">04-06-2009 00:00:00</t>
  </si>
  <si>
    <t xml:space="preserve">28275696</t>
  </si>
  <si>
    <t xml:space="preserve">Муниципальное унитарное предприятие городского округа Заречный "Теплоцентраль", г. Заречный</t>
  </si>
  <si>
    <t xml:space="preserve">6683003870</t>
  </si>
  <si>
    <t xml:space="preserve">14-10-2013 00:00:00</t>
  </si>
  <si>
    <t xml:space="preserve">26359682</t>
  </si>
  <si>
    <t xml:space="preserve">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</si>
  <si>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 xml:space="preserve">6638002715</t>
  </si>
  <si>
    <t xml:space="preserve">26359746</t>
  </si>
  <si>
    <t xml:space="preserve">Муниципальное унитарное предприятие жилищно-коммунального хозяйства "Западное" Сысертского городского округа</t>
  </si>
  <si>
    <t xml:space="preserve">6652015850</t>
  </si>
  <si>
    <t xml:space="preserve">09-01-2003 00:00:00</t>
  </si>
  <si>
    <t xml:space="preserve">26359548</t>
  </si>
  <si>
    <t xml:space="preserve">Муниципальное унитарное предприятие жилищно-коммунального хозяйства "Кедр", пгт.Свободный</t>
  </si>
  <si>
    <t xml:space="preserve">6607010561</t>
  </si>
  <si>
    <t xml:space="preserve">20-11-2002 00:00:00</t>
  </si>
  <si>
    <t xml:space="preserve">26359737</t>
  </si>
  <si>
    <t xml:space="preserve">Муниципальное унитарное предприятие жилищно-коммунального хозяйства "Сысертское", г.Сысерть</t>
  </si>
  <si>
    <t xml:space="preserve">6652001417</t>
  </si>
  <si>
    <t xml:space="preserve">18-11-1992 00:00:00</t>
  </si>
  <si>
    <t xml:space="preserve">28054322</t>
  </si>
  <si>
    <t xml:space="preserve">Муниципальное унитарное предприятие жилищно-коммунального хозяйства "Тепло-энерго цех № 1", г. Туринск</t>
  </si>
  <si>
    <t xml:space="preserve">6676001303</t>
  </si>
  <si>
    <t xml:space="preserve">26359681</t>
  </si>
  <si>
    <t xml:space="preserve">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</si>
  <si>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 xml:space="preserve">6638002708</t>
  </si>
  <si>
    <t xml:space="preserve">06-07-2009 00:00:00</t>
  </si>
  <si>
    <t xml:space="preserve">27887387</t>
  </si>
  <si>
    <t xml:space="preserve">Муниципальное унитарное предприятие жилищно-коммунального хозяйства "Теплосеть", г. Туринск</t>
  </si>
  <si>
    <t xml:space="preserve">6676001127</t>
  </si>
  <si>
    <t xml:space="preserve">26382725</t>
  </si>
  <si>
    <t xml:space="preserve">Муниципальное унитарное предприятие жилищно-коммунального хозяйства "Трифоновское", п.Пышма</t>
  </si>
  <si>
    <t xml:space="preserve">6649003735</t>
  </si>
  <si>
    <t xml:space="preserve">03-06-2004 00:00:00</t>
  </si>
  <si>
    <t xml:space="preserve">26359730</t>
  </si>
  <si>
    <t xml:space="preserve">Муниципальное унитарное предприятие жилищно-коммунального хозяйства "Черемышское", с.Тупицино</t>
  </si>
  <si>
    <t xml:space="preserve">6649003774</t>
  </si>
  <si>
    <t xml:space="preserve">11-08-2004 00:00:00</t>
  </si>
  <si>
    <t xml:space="preserve">26359744</t>
  </si>
  <si>
    <t xml:space="preserve">Муниципальное унитарное предприятие жилищно-коммунального хозяйства "Южное", с.Щелкун</t>
  </si>
  <si>
    <t xml:space="preserve">6652014215</t>
  </si>
  <si>
    <t xml:space="preserve">04-06-2001 00:00:00</t>
  </si>
  <si>
    <t xml:space="preserve">26359675</t>
  </si>
  <si>
    <t xml:space="preserve">Муниципальное унитарное предприятие жилищно-коммунального хозяйства Ачитского городского округа, п.Ачит</t>
  </si>
  <si>
    <t xml:space="preserve">6637000320</t>
  </si>
  <si>
    <t xml:space="preserve">13-05-1999 00:00:00</t>
  </si>
  <si>
    <t xml:space="preserve">28486755</t>
  </si>
  <si>
    <t xml:space="preserve">Муниципальное унитарное предприятие жилищно-коммунального хозяйства Калиновского сельского поселения</t>
  </si>
  <si>
    <t xml:space="preserve">6633019641</t>
  </si>
  <si>
    <t xml:space="preserve">24-02-2014 00:00:00</t>
  </si>
  <si>
    <t xml:space="preserve">26359741</t>
  </si>
  <si>
    <t xml:space="preserve">Муниципальное унитарное предприятие жилищно-коммунального хозяйства п.Двуреченск Сысертского городского округа, п.Двуреченск</t>
  </si>
  <si>
    <t xml:space="preserve">6652007232</t>
  </si>
  <si>
    <t xml:space="preserve">28-03-1994 00:00:00</t>
  </si>
  <si>
    <t xml:space="preserve">26479187</t>
  </si>
  <si>
    <t xml:space="preserve">Муниципальное унитарное предприятие жилищно-коммунальных услуг р.п.Бисерть, п.Бисерть</t>
  </si>
  <si>
    <t xml:space="preserve">6646014785</t>
  </si>
  <si>
    <t xml:space="preserve">26359644</t>
  </si>
  <si>
    <t xml:space="preserve">Муниципальное унитарное предприятие с.Андриановичи, с.Андриановичи</t>
  </si>
  <si>
    <t xml:space="preserve">6632018701</t>
  </si>
  <si>
    <t xml:space="preserve">20-06-2003 00:00:00</t>
  </si>
  <si>
    <t xml:space="preserve">31305828</t>
  </si>
  <si>
    <t xml:space="preserve">НТ МУП "Горэнерго-НТ"</t>
  </si>
  <si>
    <t xml:space="preserve">6623090236</t>
  </si>
  <si>
    <t xml:space="preserve">31518646</t>
  </si>
  <si>
    <t xml:space="preserve">НТ МУП "Тагилэнерго"</t>
  </si>
  <si>
    <t xml:space="preserve">6623000144</t>
  </si>
  <si>
    <t xml:space="preserve">26382713</t>
  </si>
  <si>
    <t xml:space="preserve">Непубличное акционерное общество "СВЕЗА Верхняя Синячиха", п. Верхняя Синячиха</t>
  </si>
  <si>
    <t xml:space="preserve">6635000195</t>
  </si>
  <si>
    <t xml:space="preserve">13-06-1996 00:00:00</t>
  </si>
  <si>
    <t xml:space="preserve">27803147</t>
  </si>
  <si>
    <t xml:space="preserve">Нижнетагильское МУП "Нижнетагильские тепловые сети", г.Нижний Тагил</t>
  </si>
  <si>
    <t xml:space="preserve">6623075742</t>
  </si>
  <si>
    <t xml:space="preserve">27758120</t>
  </si>
  <si>
    <t xml:space="preserve">ОАО "Тестовая организация"</t>
  </si>
  <si>
    <t xml:space="preserve">6665554433</t>
  </si>
  <si>
    <t xml:space="preserve">666100001</t>
  </si>
  <si>
    <t xml:space="preserve">31542969</t>
  </si>
  <si>
    <t xml:space="preserve">ООО "АСТРЕЯ"</t>
  </si>
  <si>
    <t xml:space="preserve">6621017375</t>
  </si>
  <si>
    <t xml:space="preserve">31516224</t>
  </si>
  <si>
    <t xml:space="preserve">ООО "АкадемТеплоСети"</t>
  </si>
  <si>
    <t xml:space="preserve">6659155208</t>
  </si>
  <si>
    <t xml:space="preserve">30992683</t>
  </si>
  <si>
    <t xml:space="preserve">ООО "Алапаевские тепловые сети"</t>
  </si>
  <si>
    <t xml:space="preserve">6677007770</t>
  </si>
  <si>
    <t xml:space="preserve">31335519</t>
  </si>
  <si>
    <t xml:space="preserve">ООО "Алапаевский теплоэнергетический комплекс"</t>
  </si>
  <si>
    <t xml:space="preserve">6601015122</t>
  </si>
  <si>
    <t xml:space="preserve">31634661</t>
  </si>
  <si>
    <t xml:space="preserve">ООО "Артемовская теплогенерирующая компания"</t>
  </si>
  <si>
    <t xml:space="preserve">6677016648</t>
  </si>
  <si>
    <t xml:space="preserve">28106478</t>
  </si>
  <si>
    <t xml:space="preserve">ООО "АтомТеплоЭлектроСеть" - Зареченский филиал ООО "АтомТеплоЭлектроСеть"</t>
  </si>
  <si>
    <t xml:space="preserve">7705923730</t>
  </si>
  <si>
    <t xml:space="preserve">663943001</t>
  </si>
  <si>
    <t xml:space="preserve">31648177</t>
  </si>
  <si>
    <t xml:space="preserve">ООО "Богдановичская Генерирующая Компания"</t>
  </si>
  <si>
    <t xml:space="preserve">6633029960</t>
  </si>
  <si>
    <t xml:space="preserve">31237649</t>
  </si>
  <si>
    <t xml:space="preserve">ООО "ВодоКаналСервис"</t>
  </si>
  <si>
    <t xml:space="preserve">6686109610</t>
  </si>
  <si>
    <t xml:space="preserve">30985686</t>
  </si>
  <si>
    <t xml:space="preserve">ООО "Гефест", г.Верхотурье</t>
  </si>
  <si>
    <t xml:space="preserve">6680007361</t>
  </si>
  <si>
    <t xml:space="preserve">30956416</t>
  </si>
  <si>
    <t xml:space="preserve">ООО "Главное управляющее предприятие "Газовые сети", г. Екатеринбург</t>
  </si>
  <si>
    <t xml:space="preserve">6671064388</t>
  </si>
  <si>
    <t xml:space="preserve">01-03-2024 00:00:00</t>
  </si>
  <si>
    <t xml:space="preserve">31449842</t>
  </si>
  <si>
    <t xml:space="preserve">ООО "Горноуральская Компания Теплоресурс"</t>
  </si>
  <si>
    <t xml:space="preserve">6623135261</t>
  </si>
  <si>
    <t xml:space="preserve">30930477</t>
  </si>
  <si>
    <t xml:space="preserve">ООО "Зареченское"</t>
  </si>
  <si>
    <t xml:space="preserve">6633025490</t>
  </si>
  <si>
    <t xml:space="preserve">31322632</t>
  </si>
  <si>
    <t xml:space="preserve">ООО "ИНЕКТЕПЛО"</t>
  </si>
  <si>
    <t xml:space="preserve">6685159304</t>
  </si>
  <si>
    <t xml:space="preserve">30984337</t>
  </si>
  <si>
    <t xml:space="preserve">ООО "Источник", г. Екатеринбург</t>
  </si>
  <si>
    <t xml:space="preserve">6685092064</t>
  </si>
  <si>
    <t xml:space="preserve">31213988</t>
  </si>
  <si>
    <t xml:space="preserve">ООО "Комфортный город"</t>
  </si>
  <si>
    <t xml:space="preserve">6685146231</t>
  </si>
  <si>
    <t xml:space="preserve">31223510</t>
  </si>
  <si>
    <t xml:space="preserve">ООО "Корал"</t>
  </si>
  <si>
    <t xml:space="preserve">6671342363</t>
  </si>
  <si>
    <t xml:space="preserve">30386705</t>
  </si>
  <si>
    <t xml:space="preserve">ООО "Магнитогорская Сетевая Компания"</t>
  </si>
  <si>
    <t xml:space="preserve">7444059016</t>
  </si>
  <si>
    <t xml:space="preserve">745601001</t>
  </si>
  <si>
    <t xml:space="preserve">03-09-2008 00:00:00</t>
  </si>
  <si>
    <t xml:space="preserve">30956404</t>
  </si>
  <si>
    <t xml:space="preserve">ООО "Март", с. Деево</t>
  </si>
  <si>
    <t xml:space="preserve">6601010220</t>
  </si>
  <si>
    <t xml:space="preserve">16-02-2024 00:00:00</t>
  </si>
  <si>
    <t xml:space="preserve">31370396</t>
  </si>
  <si>
    <t xml:space="preserve">ООО "Метод"</t>
  </si>
  <si>
    <t xml:space="preserve">6678058369</t>
  </si>
  <si>
    <t xml:space="preserve">31156225</t>
  </si>
  <si>
    <t xml:space="preserve">ООО "Монди Арамиль", г. Арамиль</t>
  </si>
  <si>
    <t xml:space="preserve">6685148334</t>
  </si>
  <si>
    <t xml:space="preserve">31423255</t>
  </si>
  <si>
    <t xml:space="preserve">ООО "Новые Технологии"</t>
  </si>
  <si>
    <t xml:space="preserve">6672315059</t>
  </si>
  <si>
    <t xml:space="preserve">667201201</t>
  </si>
  <si>
    <t xml:space="preserve">26479420</t>
  </si>
  <si>
    <t xml:space="preserve">ООО "Объединенные Пивоварни - Холдинг" филиал "Патра", г.Екатеринбург</t>
  </si>
  <si>
    <t xml:space="preserve">7802118578</t>
  </si>
  <si>
    <t xml:space="preserve">667103001</t>
  </si>
  <si>
    <t xml:space="preserve">31535207</t>
  </si>
  <si>
    <t xml:space="preserve">ООО "Олипс"</t>
  </si>
  <si>
    <t xml:space="preserve">6658548774</t>
  </si>
  <si>
    <t xml:space="preserve">30958717</t>
  </si>
  <si>
    <t xml:space="preserve">ООО "ПКП Синергия"</t>
  </si>
  <si>
    <t xml:space="preserve">7448163811</t>
  </si>
  <si>
    <t xml:space="preserve">744801001</t>
  </si>
  <si>
    <t xml:space="preserve">31197304</t>
  </si>
  <si>
    <t xml:space="preserve">ООО "Первоуральскэнерго", г.  Екатеринбург</t>
  </si>
  <si>
    <t xml:space="preserve">6684026990</t>
  </si>
  <si>
    <t xml:space="preserve">31242935</t>
  </si>
  <si>
    <t xml:space="preserve">ООО "Перспектива +", г. Березовский</t>
  </si>
  <si>
    <t xml:space="preserve">6678003000</t>
  </si>
  <si>
    <t xml:space="preserve">31342443</t>
  </si>
  <si>
    <t xml:space="preserve">ООО "Полевская коммунальная компания Энерго"</t>
  </si>
  <si>
    <t xml:space="preserve">6626020935</t>
  </si>
  <si>
    <t xml:space="preserve">31348637</t>
  </si>
  <si>
    <t xml:space="preserve">ООО "Проводник тепла"</t>
  </si>
  <si>
    <t xml:space="preserve">6671093678</t>
  </si>
  <si>
    <t xml:space="preserve">31564252</t>
  </si>
  <si>
    <t xml:space="preserve">ООО "Региональная энергетическая компания"</t>
  </si>
  <si>
    <t xml:space="preserve">6679147639</t>
  </si>
  <si>
    <t xml:space="preserve">30795031</t>
  </si>
  <si>
    <t xml:space="preserve">ООО "Ресурсэнерго"</t>
  </si>
  <si>
    <t xml:space="preserve">6677005710</t>
  </si>
  <si>
    <t xml:space="preserve">31266275</t>
  </si>
  <si>
    <t xml:space="preserve">ООО "Русская энергетика", г. Екатеринбург</t>
  </si>
  <si>
    <t xml:space="preserve">6670293018</t>
  </si>
  <si>
    <t xml:space="preserve">31392421</t>
  </si>
  <si>
    <t xml:space="preserve">ООО "СЛК Цемент"</t>
  </si>
  <si>
    <t xml:space="preserve">6633028244</t>
  </si>
  <si>
    <t xml:space="preserve">31444128</t>
  </si>
  <si>
    <t xml:space="preserve">ООО "СТК"</t>
  </si>
  <si>
    <t xml:space="preserve">6685127528</t>
  </si>
  <si>
    <t xml:space="preserve">31512437</t>
  </si>
  <si>
    <t xml:space="preserve">ООО "Северо-Восточная Тепло Транспортная Компания"</t>
  </si>
  <si>
    <t xml:space="preserve">6671152411</t>
  </si>
  <si>
    <t xml:space="preserve">31642283</t>
  </si>
  <si>
    <t xml:space="preserve">ООО "Система управления объектами" теплоснабжающих компаний</t>
  </si>
  <si>
    <t xml:space="preserve">6684043297</t>
  </si>
  <si>
    <t xml:space="preserve">30931024</t>
  </si>
  <si>
    <t xml:space="preserve">ООО "СтройКонсалтинг", г. Камышлов</t>
  </si>
  <si>
    <t xml:space="preserve">6679071355</t>
  </si>
  <si>
    <t xml:space="preserve">31641237</t>
  </si>
  <si>
    <t xml:space="preserve">ООО "ТеплоКомфорт"</t>
  </si>
  <si>
    <t xml:space="preserve">6678124117</t>
  </si>
  <si>
    <t xml:space="preserve">28435800</t>
  </si>
  <si>
    <t xml:space="preserve">ООО "Теплосервис"</t>
  </si>
  <si>
    <t xml:space="preserve">7459000872</t>
  </si>
  <si>
    <t xml:space="preserve">17-08-2012 00:00:00</t>
  </si>
  <si>
    <t xml:space="preserve">31445752</t>
  </si>
  <si>
    <t xml:space="preserve">ООО "Теплосеть"</t>
  </si>
  <si>
    <t xml:space="preserve">6612055568</t>
  </si>
  <si>
    <t xml:space="preserve">30956410</t>
  </si>
  <si>
    <t xml:space="preserve">ООО "Теплосфера", с. Деево</t>
  </si>
  <si>
    <t xml:space="preserve">6677010212</t>
  </si>
  <si>
    <t xml:space="preserve">31494998</t>
  </si>
  <si>
    <t xml:space="preserve">ООО "Теплоэнергетика"</t>
  </si>
  <si>
    <t xml:space="preserve">6685184205</t>
  </si>
  <si>
    <t xml:space="preserve">31347851</t>
  </si>
  <si>
    <t xml:space="preserve">ООО "Теплоэнергосервис", г. Екатеринбург</t>
  </si>
  <si>
    <t xml:space="preserve">6671017532</t>
  </si>
  <si>
    <t xml:space="preserve">31667251</t>
  </si>
  <si>
    <t xml:space="preserve">ООО "ТоргПласт"</t>
  </si>
  <si>
    <t xml:space="preserve">6673165590</t>
  </si>
  <si>
    <t xml:space="preserve">26632558</t>
  </si>
  <si>
    <t xml:space="preserve">ООО "УВМ Урал", г.Екатеринбург</t>
  </si>
  <si>
    <t xml:space="preserve">6674342481</t>
  </si>
  <si>
    <t xml:space="preserve">31742739</t>
  </si>
  <si>
    <t xml:space="preserve">ООО "УЖК "Территория-Запад"</t>
  </si>
  <si>
    <t xml:space="preserve">6679041135</t>
  </si>
  <si>
    <t xml:space="preserve">31343347</t>
  </si>
  <si>
    <t xml:space="preserve">ООО "УК МКДС"</t>
  </si>
  <si>
    <t xml:space="preserve">6612051436</t>
  </si>
  <si>
    <t xml:space="preserve">31354394</t>
  </si>
  <si>
    <t xml:space="preserve">ООО "Универсал-строй", п.г.т. Горноуральский</t>
  </si>
  <si>
    <t xml:space="preserve">6623129444</t>
  </si>
  <si>
    <t xml:space="preserve">31661752</t>
  </si>
  <si>
    <t xml:space="preserve">ООО "Управляющая компания "Чкаловская"</t>
  </si>
  <si>
    <t xml:space="preserve">6670340613</t>
  </si>
  <si>
    <t xml:space="preserve">31641100</t>
  </si>
  <si>
    <t xml:space="preserve">ООО "Управляющая компания Капитал"</t>
  </si>
  <si>
    <t xml:space="preserve">6685201676</t>
  </si>
  <si>
    <t xml:space="preserve">31600306</t>
  </si>
  <si>
    <t xml:space="preserve">ООО "Уралтеплодар"</t>
  </si>
  <si>
    <t xml:space="preserve">6679151226</t>
  </si>
  <si>
    <t xml:space="preserve">31474242</t>
  </si>
  <si>
    <t xml:space="preserve">ООО "ФС"</t>
  </si>
  <si>
    <t xml:space="preserve">6671312552</t>
  </si>
  <si>
    <t xml:space="preserve">31196389</t>
  </si>
  <si>
    <t xml:space="preserve">ООО "Фонд межрегиональных программ 2020", г. Екатеринбург</t>
  </si>
  <si>
    <t xml:space="preserve">6674228563</t>
  </si>
  <si>
    <t xml:space="preserve">30851433</t>
  </si>
  <si>
    <t xml:space="preserve">ООО "Химмаштеплосбыт"</t>
  </si>
  <si>
    <t xml:space="preserve">6671466376</t>
  </si>
  <si>
    <t xml:space="preserve">30998364</t>
  </si>
  <si>
    <t xml:space="preserve">ООО "Центр подготовки разрешительной документации", г. Екатеринбург</t>
  </si>
  <si>
    <t xml:space="preserve">6658192447</t>
  </si>
  <si>
    <t xml:space="preserve">31174860</t>
  </si>
  <si>
    <t xml:space="preserve">ООО "Центр развития муниципальных образований", г.Екатеринбург</t>
  </si>
  <si>
    <t xml:space="preserve">6679094112</t>
  </si>
  <si>
    <t xml:space="preserve">31513582</t>
  </si>
  <si>
    <t xml:space="preserve">ООО "Энергетический Холдинг"</t>
  </si>
  <si>
    <t xml:space="preserve">5047248091</t>
  </si>
  <si>
    <t xml:space="preserve">504701001</t>
  </si>
  <si>
    <t xml:space="preserve">31446208</t>
  </si>
  <si>
    <t xml:space="preserve">ООО "Энергия Урала"</t>
  </si>
  <si>
    <t xml:space="preserve">5906165473</t>
  </si>
  <si>
    <t xml:space="preserve">590601001</t>
  </si>
  <si>
    <t xml:space="preserve">30992298</t>
  </si>
  <si>
    <t xml:space="preserve">ООО "ЭнергоАктив"</t>
  </si>
  <si>
    <t xml:space="preserve">6677011110</t>
  </si>
  <si>
    <t xml:space="preserve">28436313</t>
  </si>
  <si>
    <t xml:space="preserve">ООО "ЭнергоРесурс"</t>
  </si>
  <si>
    <t xml:space="preserve">6678032378</t>
  </si>
  <si>
    <t xml:space="preserve">452445001</t>
  </si>
  <si>
    <t xml:space="preserve">31362559</t>
  </si>
  <si>
    <t xml:space="preserve">ООО "Энергосберегающая компания "ВИК"</t>
  </si>
  <si>
    <t xml:space="preserve">6682009597</t>
  </si>
  <si>
    <t xml:space="preserve">31352937</t>
  </si>
  <si>
    <t xml:space="preserve">ООО "Энергосервисная компания "Инек", г. Екатеринбург</t>
  </si>
  <si>
    <t xml:space="preserve">6685148158</t>
  </si>
  <si>
    <t xml:space="preserve">31209844</t>
  </si>
  <si>
    <t xml:space="preserve">ООО «АЛЬТЕРНАТИВА»</t>
  </si>
  <si>
    <t xml:space="preserve">6670456375</t>
  </si>
  <si>
    <t xml:space="preserve">31449915</t>
  </si>
  <si>
    <t xml:space="preserve">ООО «Борей Т Плюс»</t>
  </si>
  <si>
    <t xml:space="preserve">6685179572</t>
  </si>
  <si>
    <t xml:space="preserve">31431166</t>
  </si>
  <si>
    <t xml:space="preserve">ООО «ГЭСКО-сервис»</t>
  </si>
  <si>
    <t xml:space="preserve">6670368369</t>
  </si>
  <si>
    <t xml:space="preserve">31059220</t>
  </si>
  <si>
    <t xml:space="preserve">ООО «ЕТК»</t>
  </si>
  <si>
    <t xml:space="preserve">6670455068</t>
  </si>
  <si>
    <t xml:space="preserve">31521259</t>
  </si>
  <si>
    <t xml:space="preserve">ООО «МИР ЦВЕТОВ»</t>
  </si>
  <si>
    <t xml:space="preserve">6671012238</t>
  </si>
  <si>
    <t xml:space="preserve">31043430</t>
  </si>
  <si>
    <t xml:space="preserve">ООО «Метод», г. Екатеринбург</t>
  </si>
  <si>
    <t xml:space="preserve">30959078</t>
  </si>
  <si>
    <t xml:space="preserve">ООО «Оптово-распределительный центр Екатеринбург»</t>
  </si>
  <si>
    <t xml:space="preserve">2311202885</t>
  </si>
  <si>
    <t xml:space="preserve">31717282</t>
  </si>
  <si>
    <t xml:space="preserve">ООО «Производственные Объекты»</t>
  </si>
  <si>
    <t xml:space="preserve">6679088133</t>
  </si>
  <si>
    <t xml:space="preserve">31684843</t>
  </si>
  <si>
    <t xml:space="preserve">ООО «РеалПромСервис»</t>
  </si>
  <si>
    <t xml:space="preserve">6671124809</t>
  </si>
  <si>
    <t xml:space="preserve">30795075</t>
  </si>
  <si>
    <t xml:space="preserve">ООО «Управляющая компания «Финский залив»</t>
  </si>
  <si>
    <t xml:space="preserve">6658375320</t>
  </si>
  <si>
    <t xml:space="preserve">31183418</t>
  </si>
  <si>
    <t xml:space="preserve">ООО «Центрруссервис»</t>
  </si>
  <si>
    <t xml:space="preserve">6679028790</t>
  </si>
  <si>
    <t xml:space="preserve">31346680</t>
  </si>
  <si>
    <t xml:space="preserve">ООО «ЭНЕРГОГАРАНТ»</t>
  </si>
  <si>
    <t xml:space="preserve">6678069314</t>
  </si>
  <si>
    <t xml:space="preserve">31699867</t>
  </si>
  <si>
    <t xml:space="preserve">ООО ГК "УралБизнесСфера"</t>
  </si>
  <si>
    <t xml:space="preserve">6678053346</t>
  </si>
  <si>
    <t xml:space="preserve">31062725</t>
  </si>
  <si>
    <t xml:space="preserve">ООО Строительная компания "Сибирская", г. Екатеринбург</t>
  </si>
  <si>
    <t xml:space="preserve">6685057831</t>
  </si>
  <si>
    <t xml:space="preserve">31337809</t>
  </si>
  <si>
    <t xml:space="preserve">ООО ТК "СИСТЕМА", г. Екатеринбург</t>
  </si>
  <si>
    <t xml:space="preserve">6658527340</t>
  </si>
  <si>
    <t xml:space="preserve">31697770</t>
  </si>
  <si>
    <t xml:space="preserve">ООО УК "Гринвальд"</t>
  </si>
  <si>
    <t xml:space="preserve">6685204839</t>
  </si>
  <si>
    <t xml:space="preserve">31161093</t>
  </si>
  <si>
    <t xml:space="preserve">ООО УК "Центр"</t>
  </si>
  <si>
    <t xml:space="preserve">6658507432</t>
  </si>
  <si>
    <t xml:space="preserve">31526505</t>
  </si>
  <si>
    <t xml:space="preserve">ООО УК «Основа-Центр» (город Екатеринбург)</t>
  </si>
  <si>
    <t xml:space="preserve">6686084073</t>
  </si>
  <si>
    <t xml:space="preserve">30796919</t>
  </si>
  <si>
    <t xml:space="preserve">Обособленное подразделение "Екатеринбургское" Акционерного общества "Главное управление жилищно-коммунального хозяйства"</t>
  </si>
  <si>
    <t xml:space="preserve">26818852</t>
  </si>
  <si>
    <t xml:space="preserve">Обособленное подразделение АО "ПромСорт-Урал", г. Березовский</t>
  </si>
  <si>
    <t xml:space="preserve">667845001</t>
  </si>
  <si>
    <t xml:space="preserve">30851292</t>
  </si>
  <si>
    <t xml:space="preserve">Общество с ограниченной отвественностью "Уралремстройинвест"</t>
  </si>
  <si>
    <t xml:space="preserve">6613008289</t>
  </si>
  <si>
    <t xml:space="preserve">30401174</t>
  </si>
  <si>
    <t xml:space="preserve">Общество с ограниченной ответсвенностью "Кедровская строительная компания", п. Кедровое</t>
  </si>
  <si>
    <t xml:space="preserve">6673240582</t>
  </si>
  <si>
    <t xml:space="preserve">27588545</t>
  </si>
  <si>
    <t xml:space="preserve">Общество с ограниченной ответственностью "АЗИЯ-МОТОРС"</t>
  </si>
  <si>
    <t xml:space="preserve">6658295107</t>
  </si>
  <si>
    <t xml:space="preserve">26479088</t>
  </si>
  <si>
    <t xml:space="preserve">Общество с ограниченной ответственностью "АСК-Энергия", г.Екатеринбург</t>
  </si>
  <si>
    <t xml:space="preserve">6673102350</t>
  </si>
  <si>
    <t xml:space="preserve">26631948</t>
  </si>
  <si>
    <t xml:space="preserve">Общество с ограниченной ответственностью "Автоматизированные газовые котельные", г.Екатеринбург</t>
  </si>
  <si>
    <t xml:space="preserve">6607013026</t>
  </si>
  <si>
    <t xml:space="preserve">26479275</t>
  </si>
  <si>
    <t xml:space="preserve">Общество с ограниченной ответственностью "Автоматика-сервис", г.Екатеринбург</t>
  </si>
  <si>
    <t xml:space="preserve">6639005645</t>
  </si>
  <si>
    <t xml:space="preserve">26359754</t>
  </si>
  <si>
    <t xml:space="preserve">Общество с ограниченной ответственностью "Агропромхимия", п.Троицкий</t>
  </si>
  <si>
    <t xml:space="preserve">6654009059</t>
  </si>
  <si>
    <t xml:space="preserve">26479546</t>
  </si>
  <si>
    <t xml:space="preserve">Общество с ограниченной ответственностью "Агрофирма "Северная", г.Верхний Тагил</t>
  </si>
  <si>
    <t xml:space="preserve">6621014303</t>
  </si>
  <si>
    <t xml:space="preserve">14-11-2007 00:00:00</t>
  </si>
  <si>
    <t xml:space="preserve">26479327</t>
  </si>
  <si>
    <t xml:space="preserve">Общество с ограниченной ответственностью "Азов", г.Екатеринбург</t>
  </si>
  <si>
    <t xml:space="preserve">6658162107</t>
  </si>
  <si>
    <t xml:space="preserve">28822563</t>
  </si>
  <si>
    <t xml:space="preserve">Общество с ограниченной ответственностью "Альфа-сервис", г. Екатеринбург</t>
  </si>
  <si>
    <t xml:space="preserve">6658366118</t>
  </si>
  <si>
    <t xml:space="preserve">07-11-2014 00:00:00</t>
  </si>
  <si>
    <t xml:space="preserve">26632448</t>
  </si>
  <si>
    <t xml:space="preserve">Общество с ограниченной ответственностью "АрДиСи", г.Екатеринбург</t>
  </si>
  <si>
    <t xml:space="preserve">6658183668</t>
  </si>
  <si>
    <t xml:space="preserve">28002819</t>
  </si>
  <si>
    <t xml:space="preserve">Общество с ограниченной ответственностью "Атрон", г. Екатеринбург</t>
  </si>
  <si>
    <t xml:space="preserve">6658120636</t>
  </si>
  <si>
    <t xml:space="preserve">26631816</t>
  </si>
  <si>
    <t xml:space="preserve">Общество с ограниченной ответственностью "АятьКоммуналСервис", п.Аять</t>
  </si>
  <si>
    <t xml:space="preserve">6621014494</t>
  </si>
  <si>
    <t xml:space="preserve">21-01-2008 00:00:00</t>
  </si>
  <si>
    <t xml:space="preserve">26479295</t>
  </si>
  <si>
    <t xml:space="preserve">Общество с ограниченной ответственностью "База "Звезда", г.Екатеринбург</t>
  </si>
  <si>
    <t xml:space="preserve">6672134944</t>
  </si>
  <si>
    <t xml:space="preserve">13-12-2001 00:00:00</t>
  </si>
  <si>
    <t xml:space="preserve">27554930</t>
  </si>
  <si>
    <t xml:space="preserve">Общество с ограниченной ответственностью "База отдыха "Таватуй", п.Таватуй</t>
  </si>
  <si>
    <t xml:space="preserve">6621016212</t>
  </si>
  <si>
    <t xml:space="preserve">26359527</t>
  </si>
  <si>
    <t xml:space="preserve">Общество с ограниченной ответственностью "Березовский рудник"</t>
  </si>
  <si>
    <t xml:space="preserve">6604011599</t>
  </si>
  <si>
    <t xml:space="preserve">22-01-2002 00:00:00</t>
  </si>
  <si>
    <t xml:space="preserve">28798434</t>
  </si>
  <si>
    <t xml:space="preserve">Общество с ограниченной ответственностью "Буланашское жилищно-коммунальное хозяйство", п. Буланаш</t>
  </si>
  <si>
    <t xml:space="preserve">6677006093</t>
  </si>
  <si>
    <t xml:space="preserve">29-08-2014 00:00:00</t>
  </si>
  <si>
    <t xml:space="preserve">26632516</t>
  </si>
  <si>
    <t xml:space="preserve">Общество с ограниченной ответственностью "Верт-Инвест", г.Екатеринбург</t>
  </si>
  <si>
    <t xml:space="preserve">6659112878</t>
  </si>
  <si>
    <t xml:space="preserve">26851316</t>
  </si>
  <si>
    <t xml:space="preserve">Общество с ограниченной ответственностью "Вертикаль", г.Екатеринбург</t>
  </si>
  <si>
    <t xml:space="preserve">6671246003</t>
  </si>
  <si>
    <t xml:space="preserve">26322681</t>
  </si>
  <si>
    <t xml:space="preserve">Общество с ограниченной ответственностью "Ветта-Инвест", г.Екатеринбург</t>
  </si>
  <si>
    <t xml:space="preserve">6670060260</t>
  </si>
  <si>
    <t xml:space="preserve">26479281</t>
  </si>
  <si>
    <t xml:space="preserve">Общество с ограниченной ответственностью "Газ-сервис", г.Екатеринбург</t>
  </si>
  <si>
    <t xml:space="preserve">6671267973</t>
  </si>
  <si>
    <t xml:space="preserve">26575426</t>
  </si>
  <si>
    <t xml:space="preserve">Общество с ограниченной ответственностью "Газпром трансгаз Екатеринбург", г.Екатеринбург</t>
  </si>
  <si>
    <t xml:space="preserve">6608007434</t>
  </si>
  <si>
    <t xml:space="preserve">546050001</t>
  </si>
  <si>
    <t xml:space="preserve">26575652</t>
  </si>
  <si>
    <t xml:space="preserve">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</si>
  <si>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 xml:space="preserve">27322489</t>
  </si>
  <si>
    <t xml:space="preserve">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</si>
  <si>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 xml:space="preserve">665232017</t>
  </si>
  <si>
    <t xml:space="preserve">31618274</t>
  </si>
  <si>
    <t xml:space="preserve">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</si>
  <si>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 xml:space="preserve">666202002</t>
  </si>
  <si>
    <t xml:space="preserve">26575550</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</si>
  <si>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</si>
  <si>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 xml:space="preserve">665232004</t>
  </si>
  <si>
    <t xml:space="preserve">26575524</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</si>
  <si>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</si>
  <si>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 xml:space="preserve">665232010</t>
  </si>
  <si>
    <t xml:space="preserve">26575505</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</si>
  <si>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</si>
  <si>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 xml:space="preserve">662532001</t>
  </si>
  <si>
    <t xml:space="preserve">26575492</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</si>
  <si>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</si>
  <si>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 xml:space="preserve">661232002</t>
  </si>
  <si>
    <t xml:space="preserve">26575461</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</si>
  <si>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</si>
  <si>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 xml:space="preserve">667332004</t>
  </si>
  <si>
    <t xml:space="preserve">26575480</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</si>
  <si>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</si>
  <si>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 xml:space="preserve">667432001</t>
  </si>
  <si>
    <t xml:space="preserve">26575446</t>
  </si>
  <si>
    <t xml:space="preserve">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</si>
  <si>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 xml:space="preserve">666003005</t>
  </si>
  <si>
    <t xml:space="preserve">26479353</t>
  </si>
  <si>
    <t xml:space="preserve">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</si>
  <si>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 xml:space="preserve">8622000931</t>
  </si>
  <si>
    <t xml:space="preserve">30-06-1999 00:00:00</t>
  </si>
  <si>
    <t xml:space="preserve">26481052</t>
  </si>
  <si>
    <t xml:space="preserve">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</si>
  <si>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 xml:space="preserve">661002001</t>
  </si>
  <si>
    <t xml:space="preserve">26631928</t>
  </si>
  <si>
    <t xml:space="preserve">Общество с ограниченной ответственностью "Гарант+", п.Троицкий</t>
  </si>
  <si>
    <t xml:space="preserve">6654011450</t>
  </si>
  <si>
    <t xml:space="preserve">30364485</t>
  </si>
  <si>
    <t xml:space="preserve">Общество с ограниченной ответственностью "Город будущего", г. Екатеринбург</t>
  </si>
  <si>
    <t xml:space="preserve">6679080871</t>
  </si>
  <si>
    <t xml:space="preserve">26851195</t>
  </si>
  <si>
    <t xml:space="preserve">Общество с ограниченной ответственностью "Гранит", г.Екатеринбург</t>
  </si>
  <si>
    <t xml:space="preserve">6659000300</t>
  </si>
  <si>
    <t xml:space="preserve">31204622</t>
  </si>
  <si>
    <t xml:space="preserve">Общество с ограниченной ответственностью "Графен", г. Пермь</t>
  </si>
  <si>
    <t xml:space="preserve">5902011120</t>
  </si>
  <si>
    <t xml:space="preserve">590201001</t>
  </si>
  <si>
    <t xml:space="preserve">26631846</t>
  </si>
  <si>
    <t xml:space="preserve">Общество с ограниченной ответственностью "Дегтярский хлеб", г.Дегтярск</t>
  </si>
  <si>
    <t xml:space="preserve">6658289752</t>
  </si>
  <si>
    <t xml:space="preserve">662701001</t>
  </si>
  <si>
    <t xml:space="preserve">28435741</t>
  </si>
  <si>
    <t xml:space="preserve">Общество с ограниченной ответственностью "Завод "Звезда", г. Екатеринбург</t>
  </si>
  <si>
    <t xml:space="preserve">6671437008</t>
  </si>
  <si>
    <t xml:space="preserve">02-12-2013 00:00:00</t>
  </si>
  <si>
    <t xml:space="preserve">30479082</t>
  </si>
  <si>
    <t xml:space="preserve">Общество с ограниченной ответственностью "Завод бутилированных вод "Квадра"</t>
  </si>
  <si>
    <t xml:space="preserve">6684007193</t>
  </si>
  <si>
    <t xml:space="preserve">26359591</t>
  </si>
  <si>
    <t xml:space="preserve">Общество с ограниченной ответственностью "Завод транспортного оборудования", г.Кушва</t>
  </si>
  <si>
    <t xml:space="preserve">6620006099</t>
  </si>
  <si>
    <t xml:space="preserve">662001001</t>
  </si>
  <si>
    <t xml:space="preserve">28949923</t>
  </si>
  <si>
    <t xml:space="preserve">Общество с ограниченной ответственностью "ИнноПроф", г. Екатеринбург</t>
  </si>
  <si>
    <t xml:space="preserve">5406562835</t>
  </si>
  <si>
    <t xml:space="preserve">27584939</t>
  </si>
  <si>
    <t xml:space="preserve">Общество с ограниченной ответственностью "Качканарская Теплоснабжающая Компания", г.Качканар</t>
  </si>
  <si>
    <t xml:space="preserve">6615015348</t>
  </si>
  <si>
    <t xml:space="preserve">28966431</t>
  </si>
  <si>
    <t xml:space="preserve">Общество с ограниченной ответственностью "Квартал - СК", г. Екатеринбург</t>
  </si>
  <si>
    <t xml:space="preserve">6670147497</t>
  </si>
  <si>
    <t xml:space="preserve">26359745</t>
  </si>
  <si>
    <t xml:space="preserve">Общество с ограниченной ответственностью "Кольцовский комбикормовый завод", п.Большой Исток</t>
  </si>
  <si>
    <t xml:space="preserve">6652015096</t>
  </si>
  <si>
    <t xml:space="preserve">05-12-2002 00:00:00</t>
  </si>
  <si>
    <t xml:space="preserve">26632541</t>
  </si>
  <si>
    <t xml:space="preserve">Общество с ограниченной ответственностью "КомСервис", г.Екатеринбург</t>
  </si>
  <si>
    <t xml:space="preserve">6672248187</t>
  </si>
  <si>
    <t xml:space="preserve">667201001</t>
  </si>
  <si>
    <t xml:space="preserve">28546107</t>
  </si>
  <si>
    <t xml:space="preserve">Общество с ограниченной ответственностью "КомЭнергоСервис", г. Полевской</t>
  </si>
  <si>
    <t xml:space="preserve">6685031784</t>
  </si>
  <si>
    <t xml:space="preserve">15-07-2014 00:00:00</t>
  </si>
  <si>
    <t xml:space="preserve">26479589</t>
  </si>
  <si>
    <t xml:space="preserve">Общество с ограниченной ответственностью "Коммунально-эксплуатационное предприятие", г.Екатеринбург</t>
  </si>
  <si>
    <t xml:space="preserve">6672158470</t>
  </si>
  <si>
    <t xml:space="preserve">28425591</t>
  </si>
  <si>
    <t xml:space="preserve">Общество с ограниченной ответственностью "Комплексные решения", г. Екатеринбург</t>
  </si>
  <si>
    <t xml:space="preserve">6671426937</t>
  </si>
  <si>
    <t xml:space="preserve">13-11-2013 00:00:00</t>
  </si>
  <si>
    <t xml:space="preserve">26359775</t>
  </si>
  <si>
    <t xml:space="preserve">Общество с ограниченной ответственностью "Комплект-92", г.Екатеринбург</t>
  </si>
  <si>
    <t xml:space="preserve">6660006881</t>
  </si>
  <si>
    <t xml:space="preserve">666001001</t>
  </si>
  <si>
    <t xml:space="preserve">27571312</t>
  </si>
  <si>
    <t xml:space="preserve">Общество с ограниченной ответственностью "Комфорт", г.Камышлов</t>
  </si>
  <si>
    <t xml:space="preserve">6613006531</t>
  </si>
  <si>
    <t xml:space="preserve">30357732</t>
  </si>
  <si>
    <t xml:space="preserve">Общество с ограниченной ответственностью "Кондитерская фабрика "Конфи", г.Екатеринбург</t>
  </si>
  <si>
    <t xml:space="preserve">6685084987</t>
  </si>
  <si>
    <t xml:space="preserve">26479566</t>
  </si>
  <si>
    <t xml:space="preserve">Общество с ограниченной ответственностью "ЛСР. Строительство-Урал", г.Екатеринбург</t>
  </si>
  <si>
    <t xml:space="preserve">6670345033</t>
  </si>
  <si>
    <t xml:space="preserve">28817792</t>
  </si>
  <si>
    <t xml:space="preserve">Общество с ограниченной ответственностью "Ленд-Лорд", г. Екатеринбург</t>
  </si>
  <si>
    <t xml:space="preserve">6659139132</t>
  </si>
  <si>
    <t xml:space="preserve">14-10-2014 00:00:00</t>
  </si>
  <si>
    <t xml:space="preserve">30384063</t>
  </si>
  <si>
    <t xml:space="preserve">Общество с ограниченной ответственностью "Лестех", п. Верхняя Синячиха</t>
  </si>
  <si>
    <t xml:space="preserve">6601015620</t>
  </si>
  <si>
    <t xml:space="preserve">26359780</t>
  </si>
  <si>
    <t xml:space="preserve">Общество с ограниченной ответственностью "Логос-Плюс", г.Березовский</t>
  </si>
  <si>
    <t xml:space="preserve">6663043560</t>
  </si>
  <si>
    <t xml:space="preserve">26479156</t>
  </si>
  <si>
    <t xml:space="preserve">Общество с ограниченной ответственностью "Лосиное жилищно-коммунальное хозяйство", п.Лосиный</t>
  </si>
  <si>
    <t xml:space="preserve">6604015032</t>
  </si>
  <si>
    <t xml:space="preserve">26632530</t>
  </si>
  <si>
    <t xml:space="preserve">Общество с ограниченной ответственностью "Малая генерация", г.Екатеринбург</t>
  </si>
  <si>
    <t xml:space="preserve">6670211865</t>
  </si>
  <si>
    <t xml:space="preserve">26632536</t>
  </si>
  <si>
    <t xml:space="preserve">Общество с ограниченной ответственностью "Марус", г.Екатеринбург</t>
  </si>
  <si>
    <t xml:space="preserve">6671122858</t>
  </si>
  <si>
    <t xml:space="preserve">26359574</t>
  </si>
  <si>
    <t xml:space="preserve">Общество с ограниченной ответственностью "Машиностроительный завод "Звезда", г.Карпинск</t>
  </si>
  <si>
    <t xml:space="preserve">6614005851</t>
  </si>
  <si>
    <t xml:space="preserve">661401001</t>
  </si>
  <si>
    <t xml:space="preserve">26322576</t>
  </si>
  <si>
    <t xml:space="preserve">Общество с ограниченной ответственностью "Машиностроительный завод им. В.В. Воровского", г. Екатеринбург</t>
  </si>
  <si>
    <t xml:space="preserve">6671461402</t>
  </si>
  <si>
    <t xml:space="preserve">30-12-1992 00:00:00</t>
  </si>
  <si>
    <t xml:space="preserve">28458713</t>
  </si>
  <si>
    <t xml:space="preserve">Общество с ограниченной ответственностью "Монолит-Строй", г. Екатеринбург</t>
  </si>
  <si>
    <t xml:space="preserve">6670350971</t>
  </si>
  <si>
    <t xml:space="preserve">21-01-2014 00:00:00</t>
  </si>
  <si>
    <t xml:space="preserve">28269788</t>
  </si>
  <si>
    <t xml:space="preserve">Общество с ограниченной ответственностью "Новая Магистраль", г. Нижняя Тура</t>
  </si>
  <si>
    <t xml:space="preserve">6681001595</t>
  </si>
  <si>
    <t xml:space="preserve">23-09-2013 00:00:00</t>
  </si>
  <si>
    <t xml:space="preserve">26632505</t>
  </si>
  <si>
    <t xml:space="preserve">Общество с ограниченной ответственностью "Новая Энергетика", г.Екатеринбург</t>
  </si>
  <si>
    <t xml:space="preserve">6671311012</t>
  </si>
  <si>
    <t xml:space="preserve">30335433</t>
  </si>
  <si>
    <t xml:space="preserve">Общество с ограниченной ответственностью "ОК-Транс", г. Полевской</t>
  </si>
  <si>
    <t xml:space="preserve">6626011680</t>
  </si>
  <si>
    <t xml:space="preserve">662601001</t>
  </si>
  <si>
    <t xml:space="preserve">28872790</t>
  </si>
  <si>
    <t xml:space="preserve">Общество с ограниченной ответственностью "ОптиЛайн", г. Богданович</t>
  </si>
  <si>
    <t xml:space="preserve">6633022901</t>
  </si>
  <si>
    <t xml:space="preserve">19-01-2015 00:00:00</t>
  </si>
  <si>
    <t xml:space="preserve">26479110</t>
  </si>
  <si>
    <t xml:space="preserve">Общество с ограниченной ответственностью "Пальметта", г.Екатеринбург</t>
  </si>
  <si>
    <t xml:space="preserve">6660151649</t>
  </si>
  <si>
    <t xml:space="preserve">26359540</t>
  </si>
  <si>
    <t xml:space="preserve">Общество с ограниченной ответственностью "Передвижная механизированная колонна", г.Богданович</t>
  </si>
  <si>
    <t xml:space="preserve">6605008246</t>
  </si>
  <si>
    <t xml:space="preserve">30355534</t>
  </si>
  <si>
    <t xml:space="preserve">Общество с ограниченной ответственностью "Производственная компания "ЭПОС", г.Екатеринбург</t>
  </si>
  <si>
    <t xml:space="preserve">6659082045</t>
  </si>
  <si>
    <t xml:space="preserve">26632522</t>
  </si>
  <si>
    <t xml:space="preserve">Общество с ограниченной ответственностью "Производственное  объединение УРАЛЭЛЕКТРО - Фирма ТЕХИНВЭКС", г.Екатеринбург</t>
  </si>
  <si>
    <t xml:space="preserve">6660075733</t>
  </si>
  <si>
    <t xml:space="preserve">26479514</t>
  </si>
  <si>
    <t xml:space="preserve">Общество с ограниченной ответственностью "Производственное предприятие "Ирбитский кондитер", г.Ирбит</t>
  </si>
  <si>
    <t xml:space="preserve">6611009142</t>
  </si>
  <si>
    <t xml:space="preserve">661101001</t>
  </si>
  <si>
    <t xml:space="preserve">27554909</t>
  </si>
  <si>
    <t xml:space="preserve">Общество с ограниченной ответственностью "Проминвест", г.Екатеринбург</t>
  </si>
  <si>
    <t xml:space="preserve">6670295745</t>
  </si>
  <si>
    <t xml:space="preserve">27554921</t>
  </si>
  <si>
    <t xml:space="preserve">Общество с ограниченной ответственностью "Промэнергосеть", г.Новоуральск</t>
  </si>
  <si>
    <t xml:space="preserve">6629027054</t>
  </si>
  <si>
    <t xml:space="preserve">662901001</t>
  </si>
  <si>
    <t xml:space="preserve">28009019</t>
  </si>
  <si>
    <t xml:space="preserve">Общество с ограниченной ответственностью "РТИ-Энерго", г. Екатеринбург</t>
  </si>
  <si>
    <t xml:space="preserve">6679022968</t>
  </si>
  <si>
    <t xml:space="preserve">26479215</t>
  </si>
  <si>
    <t xml:space="preserve">Общество с ограниченной ответственностью "Райкомхоз-теплосети", г.Нижний Тагил</t>
  </si>
  <si>
    <t xml:space="preserve">6623019177</t>
  </si>
  <si>
    <t xml:space="preserve">28978645</t>
  </si>
  <si>
    <t xml:space="preserve">Общество с ограниченной ответственностью "Региональные строительные системы", г. Нижний Тагил</t>
  </si>
  <si>
    <t xml:space="preserve">6623099221</t>
  </si>
  <si>
    <t xml:space="preserve">23-06-2015 00:00:00</t>
  </si>
  <si>
    <t xml:space="preserve">26479632</t>
  </si>
  <si>
    <t xml:space="preserve">Общество с ограниченной ответственностью "Робек" Оптово-розничная фирма по торговле обувью, г.Екатеринбург</t>
  </si>
  <si>
    <t xml:space="preserve">6660001361</t>
  </si>
  <si>
    <t xml:space="preserve">30832857</t>
  </si>
  <si>
    <t xml:space="preserve">Общество с ограниченной ответственностью "Ростверк", г. Екатеринбург</t>
  </si>
  <si>
    <t xml:space="preserve">6679063026</t>
  </si>
  <si>
    <t xml:space="preserve">28274629</t>
  </si>
  <si>
    <t xml:space="preserve">Общество с ограниченной ответственностью "Рубикон-Аэро Инвест", г. Екатеринбург</t>
  </si>
  <si>
    <t xml:space="preserve">6679058259</t>
  </si>
  <si>
    <t xml:space="preserve">07-10-2013 00:00:00</t>
  </si>
  <si>
    <t xml:space="preserve">30386057</t>
  </si>
  <si>
    <t xml:space="preserve">Общество с ограниченной ответственностью "СТ-5", г. Екатеринбург</t>
  </si>
  <si>
    <t xml:space="preserve">7705874522</t>
  </si>
  <si>
    <t xml:space="preserve">26359768</t>
  </si>
  <si>
    <t xml:space="preserve">Общество с ограниченной ответственностью "Саргинский леспромхоз", п.Сарга</t>
  </si>
  <si>
    <t xml:space="preserve">6657004098</t>
  </si>
  <si>
    <t xml:space="preserve">26322672</t>
  </si>
  <si>
    <t xml:space="preserve">Общество с ограниченной ответственностью "Свердловский ДОЗ", г.Екатеринбург</t>
  </si>
  <si>
    <t xml:space="preserve">6686074300</t>
  </si>
  <si>
    <t xml:space="preserve">26359528</t>
  </si>
  <si>
    <t xml:space="preserve">Общество с ограниченной ответственностью "Свет", г.Березовский</t>
  </si>
  <si>
    <t xml:space="preserve">6604013003</t>
  </si>
  <si>
    <t xml:space="preserve">14-07-2003 00:00:00</t>
  </si>
  <si>
    <t xml:space="preserve">26849559</t>
  </si>
  <si>
    <t xml:space="preserve">Общество с ограниченной ответственностью "Север Мотор", г.Екатеринбург</t>
  </si>
  <si>
    <t xml:space="preserve">6606034288</t>
  </si>
  <si>
    <t xml:space="preserve">28254696</t>
  </si>
  <si>
    <t xml:space="preserve">Общество с ограниченной ответственностью "Север", г. Волчанск</t>
  </si>
  <si>
    <t xml:space="preserve">6617022686</t>
  </si>
  <si>
    <t xml:space="preserve">11-03-2024 00:00:00</t>
  </si>
  <si>
    <t xml:space="preserve">26359649</t>
  </si>
  <si>
    <t xml:space="preserve">Общество с ограниченной ответственностью "Серовэнерго", г. Серов</t>
  </si>
  <si>
    <t xml:space="preserve">6680004730</t>
  </si>
  <si>
    <t xml:space="preserve">20-06-2007 00:00:00</t>
  </si>
  <si>
    <t xml:space="preserve">29646840</t>
  </si>
  <si>
    <t xml:space="preserve">Общество с ограниченной ответственностью "СибНА", г. Каменск-Уральский</t>
  </si>
  <si>
    <t xml:space="preserve">6612013039</t>
  </si>
  <si>
    <t xml:space="preserve">25-08-2015 00:00:00</t>
  </si>
  <si>
    <t xml:space="preserve">28951763</t>
  </si>
  <si>
    <t xml:space="preserve">Общество с ограниченной ответственностью "Системсервис", г. Екатеринбург</t>
  </si>
  <si>
    <t xml:space="preserve">6670045086</t>
  </si>
  <si>
    <t xml:space="preserve">07-04-2015 00:00:00</t>
  </si>
  <si>
    <t xml:space="preserve">28975291</t>
  </si>
  <si>
    <t xml:space="preserve">Общество с ограниченной ответственностью "Солнечное тепло", г. Екатеринбург</t>
  </si>
  <si>
    <t xml:space="preserve">6671003032</t>
  </si>
  <si>
    <t xml:space="preserve">29-05-2015 00:00:00</t>
  </si>
  <si>
    <t xml:space="preserve">27571105</t>
  </si>
  <si>
    <t xml:space="preserve">Общество с ограниченной ответственностью "Сосьва-Лес", г.Екатеринбург</t>
  </si>
  <si>
    <t xml:space="preserve">6658320970</t>
  </si>
  <si>
    <t xml:space="preserve">28512528</t>
  </si>
  <si>
    <t xml:space="preserve">Общество с ограниченной ответственностью "Стройразвитие", г. Екатеринбург</t>
  </si>
  <si>
    <t xml:space="preserve">6670179266</t>
  </si>
  <si>
    <t xml:space="preserve">09-06-2014 00:00:00</t>
  </si>
  <si>
    <t xml:space="preserve">26632548</t>
  </si>
  <si>
    <t xml:space="preserve">Общество с ограниченной ответственностью "Стройсервис-Екатеринбург", г.Екатеринбург</t>
  </si>
  <si>
    <t xml:space="preserve">6663076654</t>
  </si>
  <si>
    <t xml:space="preserve">667301001</t>
  </si>
  <si>
    <t xml:space="preserve">28176767</t>
  </si>
  <si>
    <t xml:space="preserve">Общество с ограниченной ответственностью "Стройтехнопласт", п. Арти</t>
  </si>
  <si>
    <t xml:space="preserve">6646012795</t>
  </si>
  <si>
    <t xml:space="preserve">30808520</t>
  </si>
  <si>
    <t xml:space="preserve">Общество с ограниченной ответственностью "Т Э Н"</t>
  </si>
  <si>
    <t xml:space="preserve">6660071753</t>
  </si>
  <si>
    <t xml:space="preserve">26479136</t>
  </si>
  <si>
    <t xml:space="preserve">Общество с ограниченной ответственностью "ТЕПЛОГЕНЕРИРУЮЩАЯ КОМПАНИЯ ЭНЕРГО", г.Екатеринбург</t>
  </si>
  <si>
    <t xml:space="preserve">6671275318</t>
  </si>
  <si>
    <t xml:space="preserve">28983605</t>
  </si>
  <si>
    <t xml:space="preserve">Общество с ограниченной ответственностью "ТЕПЛОИНВЕСТ", г. Березовский</t>
  </si>
  <si>
    <t xml:space="preserve">6678048699</t>
  </si>
  <si>
    <t xml:space="preserve">28817098</t>
  </si>
  <si>
    <t xml:space="preserve">Общество с ограниченной ответственностью "ТагилТеплоСбыт", г. Нижний Тагил</t>
  </si>
  <si>
    <t xml:space="preserve">7731438233</t>
  </si>
  <si>
    <t xml:space="preserve">08-10-2014 00:00:00</t>
  </si>
  <si>
    <t xml:space="preserve">28868851</t>
  </si>
  <si>
    <t xml:space="preserve">Общество с ограниченной ответственностью "Талицкое молоко", п. Троицкий</t>
  </si>
  <si>
    <t xml:space="preserve">6633021880</t>
  </si>
  <si>
    <t xml:space="preserve">13-01-2015 00:00:00</t>
  </si>
  <si>
    <t xml:space="preserve">30807431</t>
  </si>
  <si>
    <t xml:space="preserve">Общество с ограниченной ответственностью "ТеплоТранс", г. Каменск-Уральский</t>
  </si>
  <si>
    <t xml:space="preserve">6612049892</t>
  </si>
  <si>
    <t xml:space="preserve">28871097</t>
  </si>
  <si>
    <t xml:space="preserve">Общество с ограниченной ответственностью "Теплогарант", г. Екатеринбург</t>
  </si>
  <si>
    <t xml:space="preserve">6671375746</t>
  </si>
  <si>
    <t xml:space="preserve">16-01-2015 00:00:00</t>
  </si>
  <si>
    <t xml:space="preserve">28855866</t>
  </si>
  <si>
    <t xml:space="preserve">Общество с ограниченной ответственностью "Теплокомплекс", г. Екатеринбург</t>
  </si>
  <si>
    <t xml:space="preserve">6670368760</t>
  </si>
  <si>
    <t xml:space="preserve">10-12-2014 00:00:00</t>
  </si>
  <si>
    <t xml:space="preserve">28449582</t>
  </si>
  <si>
    <t xml:space="preserve">Общество с ограниченной ответственностью "Теплосети", р.п. Шаля</t>
  </si>
  <si>
    <t xml:space="preserve">6625034533</t>
  </si>
  <si>
    <t xml:space="preserve">662501001</t>
  </si>
  <si>
    <t xml:space="preserve">26-12-2013 00:00:00</t>
  </si>
  <si>
    <t xml:space="preserve">31319755</t>
  </si>
  <si>
    <t xml:space="preserve">Общество с ограниченной ответственностью "Теплосеть", п. Буланаш</t>
  </si>
  <si>
    <t xml:space="preserve">6677012844</t>
  </si>
  <si>
    <t xml:space="preserve">26-02-2024 00:00:00</t>
  </si>
  <si>
    <t xml:space="preserve">27583534</t>
  </si>
  <si>
    <t xml:space="preserve">Общество с ограниченной ответственностью "Теплоснаб", г.Екатеринбург</t>
  </si>
  <si>
    <t xml:space="preserve">6658390400</t>
  </si>
  <si>
    <t xml:space="preserve">30837503</t>
  </si>
  <si>
    <t xml:space="preserve">Общество с ограниченной ответственностью "Теплоснабжающая компания г. Реж", г. Реж</t>
  </si>
  <si>
    <t xml:space="preserve">6677006720</t>
  </si>
  <si>
    <t xml:space="preserve">26629932</t>
  </si>
  <si>
    <t xml:space="preserve">Общество с ограниченной ответственностью "Теплоэнергетика", п.Заря</t>
  </si>
  <si>
    <t xml:space="preserve">6601011350</t>
  </si>
  <si>
    <t xml:space="preserve">30919333</t>
  </si>
  <si>
    <t xml:space="preserve">Общество с ограниченной ответственностью "Теплоэнергетическая компания", г. Березовский</t>
  </si>
  <si>
    <t xml:space="preserve">6678082097</t>
  </si>
  <si>
    <t xml:space="preserve">28506147</t>
  </si>
  <si>
    <t xml:space="preserve">Общество с ограниченной ответственностью "Теплоэнергоснабжение", г. Екатеринбург</t>
  </si>
  <si>
    <t xml:space="preserve">6670416799</t>
  </si>
  <si>
    <t xml:space="preserve">28269776</t>
  </si>
  <si>
    <t xml:space="preserve">Общество с ограниченной ответственностью "ТехЦентр", г. Екатеринбург</t>
  </si>
  <si>
    <t xml:space="preserve">6678031286</t>
  </si>
  <si>
    <t xml:space="preserve">28797812</t>
  </si>
  <si>
    <t xml:space="preserve">Общество с ограниченной ответственностью "Техремстрой", г. Березовский</t>
  </si>
  <si>
    <t xml:space="preserve">6678013142</t>
  </si>
  <si>
    <t xml:space="preserve">26-08-2014 00:00:00</t>
  </si>
  <si>
    <t xml:space="preserve">27554299</t>
  </si>
  <si>
    <t xml:space="preserve">Общество с ограниченной ответственностью "Топливно-энергетический комплекс "Чкаловский", г.Екатеринбург</t>
  </si>
  <si>
    <t xml:space="preserve">6674352539</t>
  </si>
  <si>
    <t xml:space="preserve">27998540</t>
  </si>
  <si>
    <t xml:space="preserve">Общество с ограниченной ответственностью "Торговый дом "Новолялинского целлюлозно-бумажного  комбината"</t>
  </si>
  <si>
    <t xml:space="preserve">6670268942</t>
  </si>
  <si>
    <t xml:space="preserve">30394922</t>
  </si>
  <si>
    <t xml:space="preserve">Общество с ограниченной ответственностью "УК Энергия"</t>
  </si>
  <si>
    <t xml:space="preserve">6685102883</t>
  </si>
  <si>
    <t xml:space="preserve">28260836</t>
  </si>
  <si>
    <t xml:space="preserve">Общество с ограниченной ответственностью "Управляющая Компания "Мастер", г. Екатеринбург</t>
  </si>
  <si>
    <t xml:space="preserve">6670341991</t>
  </si>
  <si>
    <t xml:space="preserve">20-08-2013 00:00:00</t>
  </si>
  <si>
    <t xml:space="preserve">28983824</t>
  </si>
  <si>
    <t xml:space="preserve">Общество с ограниченной ответственностью "Управляющая компания "ГЛАВНЫЙ ПРОСПЕКТ", г. Екатеринбург</t>
  </si>
  <si>
    <t xml:space="preserve">6671467676</t>
  </si>
  <si>
    <t xml:space="preserve">04-08-2015 00:00:00</t>
  </si>
  <si>
    <t xml:space="preserve">26850864</t>
  </si>
  <si>
    <t xml:space="preserve">Общество с ограниченной ответственностью "Управляющая компания "Новая территория", г.Екатеринбург</t>
  </si>
  <si>
    <t xml:space="preserve">6658310965</t>
  </si>
  <si>
    <t xml:space="preserve">14-04-2008 00:00:00</t>
  </si>
  <si>
    <t xml:space="preserve">30833845</t>
  </si>
  <si>
    <t xml:space="preserve">Общество с ограниченной ответственностью "Управляющая компания "Огни Екатеринбурга"</t>
  </si>
  <si>
    <t xml:space="preserve">6685076464</t>
  </si>
  <si>
    <t xml:space="preserve">28978338</t>
  </si>
  <si>
    <t xml:space="preserve">Общество с ограниченной ответственностью "Управляющая компания "Теплокомплекс", г. Каменск-Уральский</t>
  </si>
  <si>
    <t xml:space="preserve">6612047373</t>
  </si>
  <si>
    <t xml:space="preserve">22-06-2015 00:00:00</t>
  </si>
  <si>
    <t xml:space="preserve">28505649</t>
  </si>
  <si>
    <t xml:space="preserve">Общество с ограниченной ответственностью "Управляющая компания Исеть-Транзит", г. Екатеринбург</t>
  </si>
  <si>
    <t xml:space="preserve">6658377720</t>
  </si>
  <si>
    <t xml:space="preserve">30809025</t>
  </si>
  <si>
    <t xml:space="preserve">Общество с ограниченной ответственностью "Управляющая компания Мастер-ЖКХ"</t>
  </si>
  <si>
    <t xml:space="preserve">6685071547</t>
  </si>
  <si>
    <t xml:space="preserve">26479484</t>
  </si>
  <si>
    <t xml:space="preserve">Общество с ограниченной ответственностью "Урал-Сервис", г.Екатеринбург</t>
  </si>
  <si>
    <t xml:space="preserve">6673128894</t>
  </si>
  <si>
    <t xml:space="preserve">28536992</t>
  </si>
  <si>
    <t xml:space="preserve">Общество с ограниченной ответственностью "Уралгаз", г. Екатеринбург</t>
  </si>
  <si>
    <t xml:space="preserve">6662082581</t>
  </si>
  <si>
    <t xml:space="preserve">30-06-2014 00:00:00</t>
  </si>
  <si>
    <t xml:space="preserve">26851156</t>
  </si>
  <si>
    <t xml:space="preserve">Общество с ограниченной ответственностью "Уралкотел", г.Екатеринбург</t>
  </si>
  <si>
    <t xml:space="preserve">6658369655</t>
  </si>
  <si>
    <t xml:space="preserve">26479070</t>
  </si>
  <si>
    <t xml:space="preserve">Общество с ограниченной ответственностью "Уралтеплоэнерго", г.Сысерть</t>
  </si>
  <si>
    <t xml:space="preserve">6652028465</t>
  </si>
  <si>
    <t xml:space="preserve">665201001</t>
  </si>
  <si>
    <t xml:space="preserve">28812659</t>
  </si>
  <si>
    <t xml:space="preserve">Общество с ограниченной ответственностью "Уральская теплоэнергетическая компания", г. Екатеринбург</t>
  </si>
  <si>
    <t xml:space="preserve">6658458150</t>
  </si>
  <si>
    <t xml:space="preserve">11-09-2014 00:00:00</t>
  </si>
  <si>
    <t xml:space="preserve">26631858</t>
  </si>
  <si>
    <t xml:space="preserve">Общество с ограниченной ответственностью "Уральский строительный сервис", п.Сосьва</t>
  </si>
  <si>
    <t xml:space="preserve">6632030441</t>
  </si>
  <si>
    <t xml:space="preserve">26851349</t>
  </si>
  <si>
    <t xml:space="preserve">Общество с ограниченной ответственностью "Уральский шинный завод", г.Екатеринбург</t>
  </si>
  <si>
    <t xml:space="preserve">6674134107</t>
  </si>
  <si>
    <t xml:space="preserve">28508365</t>
  </si>
  <si>
    <t xml:space="preserve">Общество с ограниченной ответственностью "Уралэнергосервис", г. Екатеринбург</t>
  </si>
  <si>
    <t xml:space="preserve">6671434198</t>
  </si>
  <si>
    <t xml:space="preserve">20-05-2014 00:00:00</t>
  </si>
  <si>
    <t xml:space="preserve">28534195</t>
  </si>
  <si>
    <t xml:space="preserve">Общество с ограниченной ответственностью "Химвода", г. Екатеринбург</t>
  </si>
  <si>
    <t xml:space="preserve">6671408705</t>
  </si>
  <si>
    <t xml:space="preserve">11-06-2014 00:00:00</t>
  </si>
  <si>
    <t xml:space="preserve">28881099</t>
  </si>
  <si>
    <t xml:space="preserve">Общество с ограниченной ответственностью "Химмаш Энерго", г. Екатеринбург</t>
  </si>
  <si>
    <t xml:space="preserve">6679059460</t>
  </si>
  <si>
    <t xml:space="preserve">04-02-2015 00:00:00</t>
  </si>
  <si>
    <t xml:space="preserve">26479607</t>
  </si>
  <si>
    <t xml:space="preserve">Общество с ограниченной ответственностью "Хладокомбинат № 3", г.Екатеринбург</t>
  </si>
  <si>
    <t xml:space="preserve">6659059688</t>
  </si>
  <si>
    <t xml:space="preserve">26322589</t>
  </si>
  <si>
    <t xml:space="preserve">Общество с ограниченной ответственностью "ЦКС-Ст", г. Екатеринбург</t>
  </si>
  <si>
    <t xml:space="preserve">6660121267</t>
  </si>
  <si>
    <t xml:space="preserve">30837517</t>
  </si>
  <si>
    <t xml:space="preserve">Общество с ограниченной ответственностью "Центр технического обслуживания", г. Екатеринбург</t>
  </si>
  <si>
    <t xml:space="preserve">6670094728</t>
  </si>
  <si>
    <t xml:space="preserve">27554304</t>
  </si>
  <si>
    <t xml:space="preserve">Общество с ограниченной ответственностью "Центр-АС", г.Екатеринбург</t>
  </si>
  <si>
    <t xml:space="preserve">6672173950</t>
  </si>
  <si>
    <t xml:space="preserve">31079555</t>
  </si>
  <si>
    <t xml:space="preserve">Общество с ограниченной ответственностью "ЭВЕР"</t>
  </si>
  <si>
    <t xml:space="preserve">6679105318</t>
  </si>
  <si>
    <t xml:space="preserve">26479189</t>
  </si>
  <si>
    <t xml:space="preserve">Общество с ограниченной ответственностью "Энергия", п.Привокзальный</t>
  </si>
  <si>
    <t xml:space="preserve">6640003890</t>
  </si>
  <si>
    <t xml:space="preserve">26479061</t>
  </si>
  <si>
    <t xml:space="preserve">Общество с ограниченной ответственностью "ЭнергоКомплекс", р.п.Верхнее Дуброво</t>
  </si>
  <si>
    <t xml:space="preserve">6639016573</t>
  </si>
  <si>
    <t xml:space="preserve">28264826</t>
  </si>
  <si>
    <t xml:space="preserve">Общество с ограниченной ответственностью "ЭнергоРесурс", г. Екатеринбург</t>
  </si>
  <si>
    <t xml:space="preserve">06-09-2013 00:00:00</t>
  </si>
  <si>
    <t xml:space="preserve">30852355</t>
  </si>
  <si>
    <t xml:space="preserve">Общество с ограниченной ответственностью "Энергогаз-инвест", г. Екатеринбург</t>
  </si>
  <si>
    <t xml:space="preserve">6659159241</t>
  </si>
  <si>
    <t xml:space="preserve">26631762</t>
  </si>
  <si>
    <t xml:space="preserve">Общество с ограниченной ответственностью "Энергокомплекс", г.Каменск-Уральский</t>
  </si>
  <si>
    <t xml:space="preserve">6612023260</t>
  </si>
  <si>
    <t xml:space="preserve">26479170</t>
  </si>
  <si>
    <t xml:space="preserve">Общество с ограниченной ответственностью "Энергоресурс", г.Березовский</t>
  </si>
  <si>
    <t xml:space="preserve">6604019975</t>
  </si>
  <si>
    <t xml:space="preserve">26322592</t>
  </si>
  <si>
    <t xml:space="preserve">Общество с ограниченной ответственностью "Энергоснабжающая компания", г.Екатеринбург</t>
  </si>
  <si>
    <t xml:space="preserve">6673092454</t>
  </si>
  <si>
    <t xml:space="preserve">28799546</t>
  </si>
  <si>
    <t xml:space="preserve">Общество с ограниченной ответственностью "Энергосфера", г. Асбест</t>
  </si>
  <si>
    <t xml:space="preserve">6683006239</t>
  </si>
  <si>
    <t xml:space="preserve">05-09-2014 00:00:00</t>
  </si>
  <si>
    <t xml:space="preserve">26617348</t>
  </si>
  <si>
    <t xml:space="preserve">Общество с ограниченной ответственностью "Энергоуправление", г. Асбест</t>
  </si>
  <si>
    <t xml:space="preserve">6603023425</t>
  </si>
  <si>
    <t xml:space="preserve">26322593</t>
  </si>
  <si>
    <t xml:space="preserve">Общество с ограниченной ответственностью "Юг-Энергосервис", г.Екатеринбург</t>
  </si>
  <si>
    <t xml:space="preserve">6674120383</t>
  </si>
  <si>
    <t xml:space="preserve">667401001</t>
  </si>
  <si>
    <t xml:space="preserve">17-07-2003 00:00:00</t>
  </si>
  <si>
    <t xml:space="preserve">26479385</t>
  </si>
  <si>
    <t xml:space="preserve">Общество с ограниченной ответственностью "Юшалинская теплоэнергетическая компания", п.Юшала</t>
  </si>
  <si>
    <t xml:space="preserve">6655005321</t>
  </si>
  <si>
    <t xml:space="preserve">665501001</t>
  </si>
  <si>
    <t xml:space="preserve">31183639</t>
  </si>
  <si>
    <t xml:space="preserve">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</si>
  <si>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 xml:space="preserve">662102001</t>
  </si>
  <si>
    <t xml:space="preserve">28945825</t>
  </si>
  <si>
    <t xml:space="preserve">Общество с ограниченной ответственностью «Кушвинский керамзитовый завод», г. Кушва</t>
  </si>
  <si>
    <t xml:space="preserve">6681005769</t>
  </si>
  <si>
    <t xml:space="preserve">03-02-2015 00:00:00</t>
  </si>
  <si>
    <t xml:space="preserve">31160317</t>
  </si>
  <si>
    <t xml:space="preserve">Общество с ограниченной ответственностью «ТЕПЛОЭНЕРГОКОМПЛЕКС»</t>
  </si>
  <si>
    <t xml:space="preserve">6685127969</t>
  </si>
  <si>
    <t xml:space="preserve">30826254</t>
  </si>
  <si>
    <t xml:space="preserve">Общество с ограниченной ответственностью Группа Компаний "УралЭнергоМаш", г. Екатеринбург</t>
  </si>
  <si>
    <t xml:space="preserve">6658461185</t>
  </si>
  <si>
    <t xml:space="preserve">30908938</t>
  </si>
  <si>
    <t xml:space="preserve">Общество с ограниченной ответственностью УК "Юмашев", г. Екатеринбург</t>
  </si>
  <si>
    <t xml:space="preserve">6670414390</t>
  </si>
  <si>
    <t xml:space="preserve">28812980</t>
  </si>
  <si>
    <t xml:space="preserve">Общество с ограниченной ответственностью Управляющая компания "Демидовский ключ", п. Калиново</t>
  </si>
  <si>
    <t xml:space="preserve">6621018273</t>
  </si>
  <si>
    <t xml:space="preserve">15-09-2014 00:00:00</t>
  </si>
  <si>
    <t xml:space="preserve">26359530</t>
  </si>
  <si>
    <t xml:space="preserve">Общество с ограниченной ответственностью Управляющая компания "Дом-сервис", п.Кедровка</t>
  </si>
  <si>
    <t xml:space="preserve">6604017304</t>
  </si>
  <si>
    <t xml:space="preserve">28489205</t>
  </si>
  <si>
    <t xml:space="preserve">Общество с ограниченной ответственностью Управляющая компания "Лесная", г. Екатеринбург</t>
  </si>
  <si>
    <t xml:space="preserve">6686037411</t>
  </si>
  <si>
    <t xml:space="preserve">03-03-2014 00:00:00</t>
  </si>
  <si>
    <t xml:space="preserve">30808832</t>
  </si>
  <si>
    <t xml:space="preserve">Общество с ограниченной ответственностью сельхозпредприятие "Цветы Екатеринбурга-2003"</t>
  </si>
  <si>
    <t xml:space="preserve">6679102268</t>
  </si>
  <si>
    <t xml:space="preserve">30796845</t>
  </si>
  <si>
    <t xml:space="preserve">Общество с ограниченной ответственностью управляющая компания "Теплосеть", п.Троицкий</t>
  </si>
  <si>
    <t xml:space="preserve">6633022429</t>
  </si>
  <si>
    <t xml:space="preserve">26359524</t>
  </si>
  <si>
    <t xml:space="preserve">Открытое акционерное общество "Березовский механический завод", п.Первомайский</t>
  </si>
  <si>
    <t xml:space="preserve">6604000999</t>
  </si>
  <si>
    <t xml:space="preserve">26359612</t>
  </si>
  <si>
    <t xml:space="preserve">Открытое акционерное общество "Билимбаевский завод термоизоляционных материалов", п.Билимбай</t>
  </si>
  <si>
    <t xml:space="preserve">6625001270</t>
  </si>
  <si>
    <t xml:space="preserve">05-06-1993 00:00:00</t>
  </si>
  <si>
    <t xml:space="preserve">28276691</t>
  </si>
  <si>
    <t xml:space="preserve">Открытое акционерное общество "Богдановичская генерирующая компания", г. Богданович</t>
  </si>
  <si>
    <t xml:space="preserve">6633016739</t>
  </si>
  <si>
    <t xml:space="preserve">15-10-2013 00:00:00</t>
  </si>
  <si>
    <t xml:space="preserve">26854019</t>
  </si>
  <si>
    <t xml:space="preserve">Открытое акционерное общество "Высокогорский горно-обогатительный комбинат", г.Нижний Тагил</t>
  </si>
  <si>
    <t xml:space="preserve">6623000708</t>
  </si>
  <si>
    <t xml:space="preserve">26359583</t>
  </si>
  <si>
    <t xml:space="preserve">Открытое акционерное общество "Гипатрон", г.Красноуфимск</t>
  </si>
  <si>
    <t xml:space="preserve">6619001995</t>
  </si>
  <si>
    <t xml:space="preserve">26322596</t>
  </si>
  <si>
    <t xml:space="preserve">Открытое акционерное общество "Завод бурового и металлургического оборудования", г.Екатеринбург</t>
  </si>
  <si>
    <t xml:space="preserve">6659000860</t>
  </si>
  <si>
    <t xml:space="preserve">26479072</t>
  </si>
  <si>
    <t xml:space="preserve">Открытое акционерное общество "Ирбитский химико-фармацевтический завод", г.Ирбит</t>
  </si>
  <si>
    <t xml:space="preserve">6611000252</t>
  </si>
  <si>
    <t xml:space="preserve">28-10-2002 00:00:00</t>
  </si>
  <si>
    <t xml:space="preserve">26359781</t>
  </si>
  <si>
    <t xml:space="preserve">Открытое акционерное общество "Каменск-Уральский литейный завод", г.Каменск-Уральский</t>
  </si>
  <si>
    <t xml:space="preserve">6666000100</t>
  </si>
  <si>
    <t xml:space="preserve">26322598</t>
  </si>
  <si>
    <t xml:space="preserve">Открытое акционерное общество "Каменск-Уральский металлургический завод", г.Каменск-Уральский</t>
  </si>
  <si>
    <t xml:space="preserve">6665002150</t>
  </si>
  <si>
    <t xml:space="preserve">26322604</t>
  </si>
  <si>
    <t xml:space="preserve">Открытое акционерное общество "Монетный трактороремонтный завод", п. Монетный</t>
  </si>
  <si>
    <t xml:space="preserve">6604000406</t>
  </si>
  <si>
    <t xml:space="preserve">26479642</t>
  </si>
  <si>
    <t xml:space="preserve">Открытое акционерное общество "Насосный завод", г.Екатеринбург</t>
  </si>
  <si>
    <t xml:space="preserve">6664006272</t>
  </si>
  <si>
    <t xml:space="preserve">26479538</t>
  </si>
  <si>
    <t xml:space="preserve">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</si>
  <si>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 xml:space="preserve">6661000466</t>
  </si>
  <si>
    <t xml:space="preserve">26809885</t>
  </si>
  <si>
    <t xml:space="preserve">Открытое акционерное общество "Объединенные электротехнические заводы" Камышловский электротехнический завод - филиал ОАО "ЭЛТЕЗА", г.Камышлов</t>
  </si>
  <si>
    <t xml:space="preserve">7716523950</t>
  </si>
  <si>
    <t xml:space="preserve">661302001</t>
  </si>
  <si>
    <t xml:space="preserve">26359613</t>
  </si>
  <si>
    <t xml:space="preserve">Открытое акционерное общество "Первоуральский динасовый завод", г.Первоуральск</t>
  </si>
  <si>
    <t xml:space="preserve">6625004698</t>
  </si>
  <si>
    <t xml:space="preserve">26359622</t>
  </si>
  <si>
    <t xml:space="preserve">Открытое акционерное общество "Полевская коммунальная компания", г.Полевской</t>
  </si>
  <si>
    <t xml:space="preserve">6626013800</t>
  </si>
  <si>
    <t xml:space="preserve">25-07-2003 00:00:00</t>
  </si>
  <si>
    <t xml:space="preserve">26479462</t>
  </si>
  <si>
    <t xml:space="preserve">Открытое акционерное общество "Российские железные дороги" Свердловская железная дорога - филиал ОАО "РЖД", г.Екатеринбург</t>
  </si>
  <si>
    <t xml:space="preserve">665902006</t>
  </si>
  <si>
    <t xml:space="preserve">26551244</t>
  </si>
  <si>
    <t xml:space="preserve">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</si>
  <si>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 xml:space="preserve">661931001</t>
  </si>
  <si>
    <t xml:space="preserve">26359652</t>
  </si>
  <si>
    <t xml:space="preserve">Открытое акционерное общество "Санаторий "Курьи", с.Курьи</t>
  </si>
  <si>
    <t xml:space="preserve">6633022147</t>
  </si>
  <si>
    <t xml:space="preserve">26-06-2001 00:00:00</t>
  </si>
  <si>
    <t xml:space="preserve">29-01-2024 00:00:00</t>
  </si>
  <si>
    <t xml:space="preserve">28068320</t>
  </si>
  <si>
    <t xml:space="preserve">Открытое акционерное общество "Свердловский завод трансформаторов тока", г. Екатеринбург</t>
  </si>
  <si>
    <t xml:space="preserve">6658017928</t>
  </si>
  <si>
    <t xml:space="preserve">26479480</t>
  </si>
  <si>
    <t xml:space="preserve">Открытое акционерное общество "Свердловский комбинат хлебопродуктов", г.Екатеринбург</t>
  </si>
  <si>
    <t xml:space="preserve">6662001134</t>
  </si>
  <si>
    <t xml:space="preserve">26479182</t>
  </si>
  <si>
    <t xml:space="preserve">Открытое акционерное общество "Святогор", г.Красноуральск</t>
  </si>
  <si>
    <t xml:space="preserve">6618000220</t>
  </si>
  <si>
    <t xml:space="preserve">26359651</t>
  </si>
  <si>
    <t xml:space="preserve">Открытое акционерное общество "Сухоложский огнеупорный завод", г.Сухой Лог</t>
  </si>
  <si>
    <t xml:space="preserve">6633000665</t>
  </si>
  <si>
    <t xml:space="preserve">26479579</t>
  </si>
  <si>
    <t xml:space="preserve">Открытое акционерное общество "Торгмаш", г.Екатеринбург</t>
  </si>
  <si>
    <t xml:space="preserve">6663023846</t>
  </si>
  <si>
    <t xml:space="preserve">26479653</t>
  </si>
  <si>
    <t xml:space="preserve">Открытое акционерное общество "Трансагентство", г.Екатеринбург</t>
  </si>
  <si>
    <t xml:space="preserve">6662020994</t>
  </si>
  <si>
    <t xml:space="preserve">26359706</t>
  </si>
  <si>
    <t xml:space="preserve">Открытое акционерное общество "Уралбурмаш", п.Верхние Серги</t>
  </si>
  <si>
    <t xml:space="preserve">6646000133</t>
  </si>
  <si>
    <t xml:space="preserve">26359712</t>
  </si>
  <si>
    <t xml:space="preserve">Открытое акционерное общество "Уральская фольга", г.Михайловск</t>
  </si>
  <si>
    <t xml:space="preserve">6646010043</t>
  </si>
  <si>
    <t xml:space="preserve">26359614</t>
  </si>
  <si>
    <t xml:space="preserve">Открытое акционерное общество "Уральский трубный завод", г.Первоуральск</t>
  </si>
  <si>
    <t xml:space="preserve">6625005042</t>
  </si>
  <si>
    <t xml:space="preserve">26851228</t>
  </si>
  <si>
    <t xml:space="preserve">Открытое акционерное общество "Цветмет", г. Екатеринбург</t>
  </si>
  <si>
    <t xml:space="preserve">6659005731</t>
  </si>
  <si>
    <t xml:space="preserve">26479231</t>
  </si>
  <si>
    <t xml:space="preserve">Открытое акционерное общество "Энергозапчасть", г.Красноуральск</t>
  </si>
  <si>
    <t xml:space="preserve">6618000484</t>
  </si>
  <si>
    <t xml:space="preserve">661801001</t>
  </si>
  <si>
    <t xml:space="preserve">11-04-2024 00:00:00</t>
  </si>
  <si>
    <t xml:space="preserve">26359772</t>
  </si>
  <si>
    <t xml:space="preserve">Открытое акционерное общество Промышленно-транспортная компания "Свердловскстройтранс", г.Екатеринбург</t>
  </si>
  <si>
    <t xml:space="preserve">6659008764</t>
  </si>
  <si>
    <t xml:space="preserve">665301001</t>
  </si>
  <si>
    <t xml:space="preserve">26359782</t>
  </si>
  <si>
    <t xml:space="preserve">Открытое акционерное общество Уральский завод электрических соединителей "Исеть", г.Каменск-Уральский</t>
  </si>
  <si>
    <t xml:space="preserve">6666003380</t>
  </si>
  <si>
    <t xml:space="preserve">26357500</t>
  </si>
  <si>
    <t xml:space="preserve">ПАО "Новолипецкий металлургический комбинат"</t>
  </si>
  <si>
    <t xml:space="preserve">4823006703</t>
  </si>
  <si>
    <t xml:space="preserve">482301001</t>
  </si>
  <si>
    <t xml:space="preserve">26823128</t>
  </si>
  <si>
    <t xml:space="preserve">ПАО "ЭЛ5-Энерго"</t>
  </si>
  <si>
    <t xml:space="preserve">6671156423</t>
  </si>
  <si>
    <t xml:space="preserve">26359618</t>
  </si>
  <si>
    <t xml:space="preserve">Первоуральское муниципальное унитарное предприятие "Производственное жилищно-коммунальное управление поселка Динас", г.Первоуральск</t>
  </si>
  <si>
    <t xml:space="preserve">6625019239</t>
  </si>
  <si>
    <t xml:space="preserve">17-09-1997 00:00:00</t>
  </si>
  <si>
    <t xml:space="preserve">26479655</t>
  </si>
  <si>
    <t xml:space="preserve">Первоуральское муниципальное унитарное предприятие "Производственное объединение жилищно-коммунального хозяйства", г.Первоуральск</t>
  </si>
  <si>
    <t xml:space="preserve">6625002820</t>
  </si>
  <si>
    <t xml:space="preserve">26359739</t>
  </si>
  <si>
    <t xml:space="preserve">Публичное акционерное общество "Ключевский завод ферросплавов", п.Двуреченск</t>
  </si>
  <si>
    <t xml:space="preserve">6652002273</t>
  </si>
  <si>
    <t xml:space="preserve">26359546</t>
  </si>
  <si>
    <t xml:space="preserve">Публичное акционерное общество "Корпорация ВСМПО-АВИСМА", г. Верхняя Салда</t>
  </si>
  <si>
    <t xml:space="preserve">6607000556</t>
  </si>
  <si>
    <t xml:space="preserve">18-02-1993 00:00:00</t>
  </si>
  <si>
    <t xml:space="preserve">26479325</t>
  </si>
  <si>
    <t xml:space="preserve">Публичное акционерное общество "Машиностроительный завод имени М.И.Калинина, г.Екатеринбург", г.Екатеринбург</t>
  </si>
  <si>
    <t xml:space="preserve">6663003800</t>
  </si>
  <si>
    <t xml:space="preserve">31-05-1994 00:00:00</t>
  </si>
  <si>
    <t xml:space="preserve">26359642</t>
  </si>
  <si>
    <t xml:space="preserve">Публичное акционерное общество "Надеждинский металлургический завод", г.Серов</t>
  </si>
  <si>
    <t xml:space="preserve">6632004667</t>
  </si>
  <si>
    <t xml:space="preserve">10-11-2002 00:00:00</t>
  </si>
  <si>
    <t xml:space="preserve">28980669</t>
  </si>
  <si>
    <t xml:space="preserve">Публичное акционерное общество "Т Плюс", Красногорский район Московской области</t>
  </si>
  <si>
    <t xml:space="preserve">6315376946</t>
  </si>
  <si>
    <t xml:space="preserve">502401001</t>
  </si>
  <si>
    <t xml:space="preserve">08-07-2015 00:00:00</t>
  </si>
  <si>
    <t xml:space="preserve">26481694</t>
  </si>
  <si>
    <t xml:space="preserve">Публичное акционерное общество "Уралхимпласт", г.Нижний Тагил</t>
  </si>
  <si>
    <t xml:space="preserve">6623005777</t>
  </si>
  <si>
    <t xml:space="preserve">23-06-2010 00:00:00</t>
  </si>
  <si>
    <t xml:space="preserve">26479526</t>
  </si>
  <si>
    <t xml:space="preserve">Публичное акционерное общество "Уральский завод резиновых технических изделий", г.Екатеринбург</t>
  </si>
  <si>
    <t xml:space="preserve">6664002550</t>
  </si>
  <si>
    <t xml:space="preserve">26479496</t>
  </si>
  <si>
    <t xml:space="preserve">Публичное акционерное общество "ЭЛ5-Энерго" - филиал Рефтинская ГРЭС</t>
  </si>
  <si>
    <t xml:space="preserve">660302001</t>
  </si>
  <si>
    <t xml:space="preserve">26481177</t>
  </si>
  <si>
    <t xml:space="preserve">Публичное акционерное общество "ЭЛ5-Энерго" - филиал Среднеуральская ГРЭС</t>
  </si>
  <si>
    <t xml:space="preserve">27-10-2004 00:00:00</t>
  </si>
  <si>
    <t xml:space="preserve">26479518</t>
  </si>
  <si>
    <t xml:space="preserve">Публичное акционерное общество междугородной и международной электрической связи "Ростелеком" Екатеринбургский филиал, г. Екатеринбург</t>
  </si>
  <si>
    <t xml:space="preserve">7707049388</t>
  </si>
  <si>
    <t xml:space="preserve">РЕГИОНАЛЬНАЯ ЭНЕРГЕТИЧЕСКАЯ КОМИССИЯ СВЕРДЛОВСКОЙ ОБЛАСТИ</t>
  </si>
  <si>
    <t xml:space="preserve">6671113500</t>
  </si>
  <si>
    <t xml:space="preserve">26359696</t>
  </si>
  <si>
    <t xml:space="preserve">Сельскохозяйственный производственный кооператив "Килачевский", с.Килачевское</t>
  </si>
  <si>
    <t xml:space="preserve">6642001087</t>
  </si>
  <si>
    <t xml:space="preserve">31-12-1992 00:00:00</t>
  </si>
  <si>
    <t xml:space="preserve">26359736</t>
  </si>
  <si>
    <t xml:space="preserve">Сысертское районное потребительское общество, г.Арамиль</t>
  </si>
  <si>
    <t xml:space="preserve">6652001079</t>
  </si>
  <si>
    <t xml:space="preserve">26479130</t>
  </si>
  <si>
    <t xml:space="preserve">Товарищество собственников жилья "Аквамарин", г.Екатеринбург</t>
  </si>
  <si>
    <t xml:space="preserve">6673088955</t>
  </si>
  <si>
    <t xml:space="preserve">27902720</t>
  </si>
  <si>
    <t xml:space="preserve">Товарищество собственников жилья "Малаховский", г. Екатеринбург</t>
  </si>
  <si>
    <t xml:space="preserve">6672130185</t>
  </si>
  <si>
    <t xml:space="preserve">26479383</t>
  </si>
  <si>
    <t xml:space="preserve">Товарищество собственников жилья "Мамина-Сибиряка, 126", г.Екатеринбург</t>
  </si>
  <si>
    <t xml:space="preserve">6672201083</t>
  </si>
  <si>
    <t xml:space="preserve">26479229</t>
  </si>
  <si>
    <t xml:space="preserve">Товарищество собственников жилья "Энергия", г.Екатеринбург</t>
  </si>
  <si>
    <t xml:space="preserve">6673170600</t>
  </si>
  <si>
    <t xml:space="preserve">26359742</t>
  </si>
  <si>
    <t xml:space="preserve">Унитарное муниципальное предприятие жилищно-коммунального хозяйства п.Бобровский, п.Бобровский</t>
  </si>
  <si>
    <t xml:space="preserve">6652008677</t>
  </si>
  <si>
    <t xml:space="preserve">17-08-1995 00:00:00</t>
  </si>
  <si>
    <t xml:space="preserve">26360340</t>
  </si>
  <si>
    <t xml:space="preserve">Урайское УМН Акционерное общество "Транснефть - Сибирь" АК "Транснефть"</t>
  </si>
  <si>
    <t xml:space="preserve">7201000726</t>
  </si>
  <si>
    <t xml:space="preserve">860602001</t>
  </si>
  <si>
    <t xml:space="preserve">26479203</t>
  </si>
  <si>
    <t xml:space="preserve">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</si>
  <si>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 xml:space="preserve">5405101327</t>
  </si>
  <si>
    <t xml:space="preserve">665802001</t>
  </si>
  <si>
    <t xml:space="preserve">24-11-1999 00:00:00</t>
  </si>
  <si>
    <t xml:space="preserve">26322574</t>
  </si>
  <si>
    <t xml:space="preserve">ФГАОУ ВО "Уральский федеральный университет имени первого Президента России Б.Н. Ельцина", г.Екатеринбург</t>
  </si>
  <si>
    <t xml:space="preserve">6660003190</t>
  </si>
  <si>
    <t xml:space="preserve">666002001</t>
  </si>
  <si>
    <t xml:space="preserve">31434735</t>
  </si>
  <si>
    <t xml:space="preserve">ФГБОУ ВО "Уральский государственный лесотехнический университет" (город Екатеринбург)</t>
  </si>
  <si>
    <t xml:space="preserve">6662000973</t>
  </si>
  <si>
    <t xml:space="preserve">28543783</t>
  </si>
  <si>
    <t xml:space="preserve">ФГКОУ ВО "Институт Федеральной службы безопасности Российской Федерации (г. Екатеринбург)", г. Екатеринбург</t>
  </si>
  <si>
    <t xml:space="preserve">6672155091</t>
  </si>
  <si>
    <t xml:space="preserve">01-07-2014 00:00:00</t>
  </si>
  <si>
    <t xml:space="preserve">30919862</t>
  </si>
  <si>
    <t xml:space="preserve">ФКУ "Уральское окружное управление материально-технического снабжения Министерства внутренних дел Российской Федерации"</t>
  </si>
  <si>
    <t xml:space="preserve">6661014645</t>
  </si>
  <si>
    <t xml:space="preserve">26479132</t>
  </si>
  <si>
    <t xml:space="preserve">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</si>
  <si>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 xml:space="preserve">6611001337</t>
  </si>
  <si>
    <t xml:space="preserve">661130001</t>
  </si>
  <si>
    <t xml:space="preserve">26479243</t>
  </si>
  <si>
    <t xml:space="preserve">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</si>
  <si>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 xml:space="preserve">6659014366</t>
  </si>
  <si>
    <t xml:space="preserve">30808617</t>
  </si>
  <si>
    <t xml:space="preserve">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</si>
  <si>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 xml:space="preserve">6661000392</t>
  </si>
  <si>
    <t xml:space="preserve">31482664</t>
  </si>
  <si>
    <t xml:space="preserve">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</si>
  <si>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 xml:space="preserve">6663032216</t>
  </si>
  <si>
    <t xml:space="preserve">26479486</t>
  </si>
  <si>
    <t xml:space="preserve">Федеральное государственное унитарное предприятие "Комбинат "Электрохимприбор", г.Лесной</t>
  </si>
  <si>
    <t xml:space="preserve">6630002336</t>
  </si>
  <si>
    <t xml:space="preserve">18-02-2010 00:00:00</t>
  </si>
  <si>
    <t xml:space="preserve">26479554</t>
  </si>
  <si>
    <t xml:space="preserve">Федеральное государственное унитарное предприятие "Производственное объединение "Октябрь", г.Каменск-Уральский</t>
  </si>
  <si>
    <t xml:space="preserve">6612001971</t>
  </si>
  <si>
    <t xml:space="preserve">26479476</t>
  </si>
  <si>
    <t xml:space="preserve">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</si>
  <si>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 xml:space="preserve">6634006878</t>
  </si>
  <si>
    <t xml:space="preserve">28969248</t>
  </si>
  <si>
    <t xml:space="preserve">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</si>
  <si>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 xml:space="preserve">22-05-2015 00:00:00</t>
  </si>
  <si>
    <t xml:space="preserve">26479164</t>
  </si>
  <si>
    <t xml:space="preserve">Федеральное казенное учреждение Исправительная колония № 53 ГУФСИН России по Свердловской области, г.Верхотурье</t>
  </si>
  <si>
    <t xml:space="preserve">6640001980</t>
  </si>
  <si>
    <t xml:space="preserve">28951102</t>
  </si>
  <si>
    <t xml:space="preserve">Филиал "Свердловский" ПАО "Т Плюс"</t>
  </si>
  <si>
    <t xml:space="preserve">667143001</t>
  </si>
  <si>
    <t xml:space="preserve">01-04-2015 00:00:00</t>
  </si>
  <si>
    <t xml:space="preserve">26322674</t>
  </si>
  <si>
    <t xml:space="preserve">Филиал АО "РУСАЛ Урал" в Каменске-Уральском "Объединенная компания РУСАЛ Уральский алюминиевый завод", город Каменск-Уральский</t>
  </si>
  <si>
    <t xml:space="preserve">661202001</t>
  </si>
  <si>
    <t xml:space="preserve">26322647</t>
  </si>
  <si>
    <t xml:space="preserve">Филиал АО "РУСАЛ Урал" в Краснотурьинске "Объединенная компания РУСАЛ Богословский алюминиевый завод", город Краснотурьинск</t>
  </si>
  <si>
    <t xml:space="preserve">29-11-1996 00:00:00</t>
  </si>
  <si>
    <t xml:space="preserve">31459042</t>
  </si>
  <si>
    <t xml:space="preserve">Филиал АО "Регионгаз-инвест" в МО г. Нижний Тагил</t>
  </si>
  <si>
    <t xml:space="preserve">662343001</t>
  </si>
  <si>
    <t xml:space="preserve">09-03-2005 00:00:00</t>
  </si>
  <si>
    <t xml:space="preserve">30914574</t>
  </si>
  <si>
    <t xml:space="preserve">Филиал ФГБУ "ЦЖКУ" МИНОБОРОНЫ РОССИИ (по ЦВО)</t>
  </si>
  <si>
    <t xml:space="preserve">7729314745</t>
  </si>
  <si>
    <t xml:space="preserve">667043001</t>
  </si>
  <si>
    <t xml:space="preserve">26798561</t>
  </si>
  <si>
    <t xml:space="preserve">Филиал открытого акционерного общества "ЕВРАЗ Нижнетагильский металлургический комбинат" Нижнесалдинский металлургический завод, г.Нижняя Салда</t>
  </si>
  <si>
    <t xml:space="preserve">662203001</t>
  </si>
  <si>
    <t xml:space="preserve">26479647</t>
  </si>
  <si>
    <t xml:space="preserve">Центральный банк Российской Федерации Уральское Главное управление Центрального банка Российской Федерации, г. Екатеринбург</t>
  </si>
  <si>
    <t xml:space="preserve">7702235133</t>
  </si>
  <si>
    <t xml:space="preserve">667145008</t>
  </si>
  <si>
    <t xml:space="preserve">31727699</t>
  </si>
  <si>
    <t xml:space="preserve">ООО "КИТ Екатеринбург"</t>
  </si>
  <si>
    <t xml:space="preserve">6671261763</t>
  </si>
  <si>
    <t xml:space="preserve">30959087</t>
  </si>
  <si>
    <t xml:space="preserve">ООО "УЖК "Территория-Запад", г.Екатеринбург</t>
  </si>
  <si>
    <t xml:space="preserve">26766241</t>
  </si>
  <si>
    <t xml:space="preserve">АО "ВСК", г.Екатеринбург</t>
  </si>
  <si>
    <t xml:space="preserve">7709740495</t>
  </si>
  <si>
    <t xml:space="preserve">31246223</t>
  </si>
  <si>
    <t xml:space="preserve">АО "НПО "МИКРОГЕН"</t>
  </si>
  <si>
    <t xml:space="preserve">7722422237</t>
  </si>
  <si>
    <t xml:space="preserve">772201001</t>
  </si>
  <si>
    <t xml:space="preserve">26479168</t>
  </si>
  <si>
    <t xml:space="preserve">Акционерное общество "Агрофирма "Патруши", с.Патруши</t>
  </si>
  <si>
    <t xml:space="preserve">6652018883</t>
  </si>
  <si>
    <t xml:space="preserve">26481258</t>
  </si>
  <si>
    <t xml:space="preserve">Акционерное общество "Водоканал Каменск-Уральский", г.Каменск-Уральский</t>
  </si>
  <si>
    <t xml:space="preserve">6612019640</t>
  </si>
  <si>
    <t xml:space="preserve">26480998</t>
  </si>
  <si>
    <t xml:space="preserve">Акционерное общество "Водоканал", г.Асбест</t>
  </si>
  <si>
    <t xml:space="preserve">6603017615</t>
  </si>
  <si>
    <t xml:space="preserve">05-04-2005 00:00:00</t>
  </si>
  <si>
    <t xml:space="preserve">26359783</t>
  </si>
  <si>
    <t xml:space="preserve">Акционерное общество "Каменск-Уральский завод по обработке цветных металлов", г.Каменск-Уральский</t>
  </si>
  <si>
    <t xml:space="preserve">6666003414</t>
  </si>
  <si>
    <t xml:space="preserve">20-11-1992 00:00:00</t>
  </si>
  <si>
    <t xml:space="preserve">28424919</t>
  </si>
  <si>
    <t xml:space="preserve">Акционерное общество "Предприятие водопроводно-канализационного хозяйства Свердловской области"</t>
  </si>
  <si>
    <t xml:space="preserve">6670290930</t>
  </si>
  <si>
    <t xml:space="preserve">08-11-2013 00:00:00</t>
  </si>
  <si>
    <t xml:space="preserve">26850742</t>
  </si>
  <si>
    <t xml:space="preserve">Акционерное общество "Синарский трубный завод", г. Каменск-Уральский</t>
  </si>
  <si>
    <t xml:space="preserve">6612000551</t>
  </si>
  <si>
    <t xml:space="preserve">26359655</t>
  </si>
  <si>
    <t xml:space="preserve">Акционерное общество "Совхоз "Сухоложский", с.Курьи</t>
  </si>
  <si>
    <t xml:space="preserve">6633024433</t>
  </si>
  <si>
    <t xml:space="preserve">10-02-2003 00:00:00</t>
  </si>
  <si>
    <t xml:space="preserve">27711808</t>
  </si>
  <si>
    <t xml:space="preserve">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</si>
  <si>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 xml:space="preserve">6643004108</t>
  </si>
  <si>
    <t xml:space="preserve">26481110</t>
  </si>
  <si>
    <t xml:space="preserve">Екатеринбургское муниципальное унитарное предприятие водопроводно-канализационного хозяйства (МУП "Водоканал"), г.Екатеринбург</t>
  </si>
  <si>
    <t xml:space="preserve">6608001915</t>
  </si>
  <si>
    <t xml:space="preserve">09-07-1993 00:00:00</t>
  </si>
  <si>
    <t xml:space="preserve">31477562</t>
  </si>
  <si>
    <t xml:space="preserve">ИП Осипов Р.Н.</t>
  </si>
  <si>
    <t xml:space="preserve">661304676132</t>
  </si>
  <si>
    <t xml:space="preserve">27570170</t>
  </si>
  <si>
    <t xml:space="preserve">Индивидуальный предприниматель Ведерников Игорь Геннадьевич, г.Первоуральск</t>
  </si>
  <si>
    <t xml:space="preserve">662500461417</t>
  </si>
  <si>
    <t xml:space="preserve">05-04-2000 00:00:00</t>
  </si>
  <si>
    <t xml:space="preserve">26763298</t>
  </si>
  <si>
    <t xml:space="preserve">Колхоз им. Ленина</t>
  </si>
  <si>
    <t xml:space="preserve">6642000083</t>
  </si>
  <si>
    <t xml:space="preserve">31041487</t>
  </si>
  <si>
    <t xml:space="preserve">МБУ "Эксплуатационно-хозяйственное управление Сосьвинского городского округа", р.п. Сосьва</t>
  </si>
  <si>
    <t xml:space="preserve">6680004554</t>
  </si>
  <si>
    <t xml:space="preserve">31582072</t>
  </si>
  <si>
    <t xml:space="preserve">МКП "РОСТ</t>
  </si>
  <si>
    <t xml:space="preserve">6633029576</t>
  </si>
  <si>
    <t xml:space="preserve">31475269</t>
  </si>
  <si>
    <t xml:space="preserve">МКУ "Сети"</t>
  </si>
  <si>
    <t xml:space="preserve">6681011297</t>
  </si>
  <si>
    <t xml:space="preserve">31601247</t>
  </si>
  <si>
    <t xml:space="preserve">МКУ Ачитского городского округа "Служба по работе с населением "Совет"</t>
  </si>
  <si>
    <t xml:space="preserve">6619026037</t>
  </si>
  <si>
    <t xml:space="preserve">31679555</t>
  </si>
  <si>
    <t xml:space="preserve">МКУ Кушвинского городского округа "Коммунальные сети"</t>
  </si>
  <si>
    <t xml:space="preserve">6681013505</t>
  </si>
  <si>
    <t xml:space="preserve">31738710</t>
  </si>
  <si>
    <t xml:space="preserve">МУП "Водоканал  г. Верхний Тагил"</t>
  </si>
  <si>
    <t xml:space="preserve">6682022397</t>
  </si>
  <si>
    <t xml:space="preserve">31349055</t>
  </si>
  <si>
    <t xml:space="preserve">МУП "Водоснабжение" Белоярского городского округа</t>
  </si>
  <si>
    <t xml:space="preserve">6683016043</t>
  </si>
  <si>
    <t xml:space="preserve">31020925</t>
  </si>
  <si>
    <t xml:space="preserve">МУП "ЖКХ пос.Буланаш"</t>
  </si>
  <si>
    <t xml:space="preserve">6677011181</t>
  </si>
  <si>
    <t xml:space="preserve">31563944</t>
  </si>
  <si>
    <t xml:space="preserve">МУП "Коммунальный комплекс", г. Карпинск</t>
  </si>
  <si>
    <t xml:space="preserve">6617028977</t>
  </si>
  <si>
    <t xml:space="preserve">31689406</t>
  </si>
  <si>
    <t xml:space="preserve">МУП "Свободный Водоканал" ГО ЗАТО Свободный</t>
  </si>
  <si>
    <t xml:space="preserve">6623143142</t>
  </si>
  <si>
    <t xml:space="preserve">31528709</t>
  </si>
  <si>
    <t xml:space="preserve">МУП "Север"</t>
  </si>
  <si>
    <t xml:space="preserve">6617028783</t>
  </si>
  <si>
    <t xml:space="preserve">31655842</t>
  </si>
  <si>
    <t xml:space="preserve">МУП "Североуральский Водоканал"</t>
  </si>
  <si>
    <t xml:space="preserve">6617029515</t>
  </si>
  <si>
    <t xml:space="preserve">28140034</t>
  </si>
  <si>
    <t xml:space="preserve">МУП "УЖКХ И АТ ТГО", пгт. Тугулым</t>
  </si>
  <si>
    <t xml:space="preserve">6633019666</t>
  </si>
  <si>
    <t xml:space="preserve">31568772</t>
  </si>
  <si>
    <t xml:space="preserve">МУП «Водоснабжающая компания»</t>
  </si>
  <si>
    <t xml:space="preserve">6633029600</t>
  </si>
  <si>
    <t xml:space="preserve">31639190</t>
  </si>
  <si>
    <t xml:space="preserve">МУП «Среднеуральское водопроводно-канализационное хозяйство»</t>
  </si>
  <si>
    <t xml:space="preserve">6686140730</t>
  </si>
  <si>
    <t xml:space="preserve">31508666</t>
  </si>
  <si>
    <t xml:space="preserve">МУП АГО "ВОДОКАНАЛ"</t>
  </si>
  <si>
    <t xml:space="preserve">6619026615</t>
  </si>
  <si>
    <t xml:space="preserve">31316652</t>
  </si>
  <si>
    <t xml:space="preserve">МУП ГО Верхотурский "Гарант"</t>
  </si>
  <si>
    <t xml:space="preserve">6680008460</t>
  </si>
  <si>
    <t xml:space="preserve">31480207</t>
  </si>
  <si>
    <t xml:space="preserve">МУП ГО Заречный «Единый город»</t>
  </si>
  <si>
    <t xml:space="preserve">6683005884</t>
  </si>
  <si>
    <t xml:space="preserve">28128823</t>
  </si>
  <si>
    <t xml:space="preserve">МУП ГО город Ирбит "Водоканал-сервис"</t>
  </si>
  <si>
    <t xml:space="preserve">6676001656</t>
  </si>
  <si>
    <t xml:space="preserve">31388521</t>
  </si>
  <si>
    <t xml:space="preserve">МУП Кушвинского городского округа "Водоканал"</t>
  </si>
  <si>
    <t xml:space="preserve">6681010092</t>
  </si>
  <si>
    <t xml:space="preserve">31558158</t>
  </si>
  <si>
    <t xml:space="preserve">МУП Шалинского городского округа «Шалинское водохозяйство»</t>
  </si>
  <si>
    <t xml:space="preserve">6684041042</t>
  </si>
  <si>
    <t xml:space="preserve">30842428</t>
  </si>
  <si>
    <t xml:space="preserve">Муниципальное автономное учреждение "Детский оздоровительный комплекс "Звёздный" имени В.Г. Удовенко, п. Леневка</t>
  </si>
  <si>
    <t xml:space="preserve">6623064959</t>
  </si>
  <si>
    <t xml:space="preserve">30796082</t>
  </si>
  <si>
    <t xml:space="preserve">Муниципальное предприятие "Приозёрный" Невьянского городского округа</t>
  </si>
  <si>
    <t xml:space="preserve">6682009903</t>
  </si>
  <si>
    <t xml:space="preserve">28106566</t>
  </si>
  <si>
    <t xml:space="preserve">Муниципальное унитарное предприятие "Алапаевский горводоканал", г. Алапаевск</t>
  </si>
  <si>
    <t xml:space="preserve">6677002959</t>
  </si>
  <si>
    <t xml:space="preserve">27666399</t>
  </si>
  <si>
    <t xml:space="preserve">Муниципальное унитарное предприятие "Водоканал Камышлов"</t>
  </si>
  <si>
    <t xml:space="preserve">6633018655</t>
  </si>
  <si>
    <t xml:space="preserve">26481215</t>
  </si>
  <si>
    <t xml:space="preserve">Муниципальное унитарное предприятие "Водоканал г.Михайловск", г.Михайловск</t>
  </si>
  <si>
    <t xml:space="preserve">6646014619</t>
  </si>
  <si>
    <t xml:space="preserve">22-07-2008 00:00:00</t>
  </si>
  <si>
    <t xml:space="preserve">27768176</t>
  </si>
  <si>
    <t xml:space="preserve">Муниципальное унитарное предприятие "Водоканал", п. Сосьва</t>
  </si>
  <si>
    <t xml:space="preserve">6680000493</t>
  </si>
  <si>
    <t xml:space="preserve">26481197</t>
  </si>
  <si>
    <t xml:space="preserve">Муниципальное унитарное предприятие "Водопроводно-канализационного хозяйства" городского округа Верхняя Пышма, г. Верхняя Пышма</t>
  </si>
  <si>
    <t xml:space="preserve">6606011940</t>
  </si>
  <si>
    <t xml:space="preserve">31-03-1998 00:00:00</t>
  </si>
  <si>
    <t xml:space="preserve">26481036</t>
  </si>
  <si>
    <t xml:space="preserve">Муниципальное унитарное предприятие "Горкомсети", г.Сухой Лог</t>
  </si>
  <si>
    <t xml:space="preserve">6633012854</t>
  </si>
  <si>
    <t xml:space="preserve">31-05-2007 00:00:00</t>
  </si>
  <si>
    <t xml:space="preserve">26382688</t>
  </si>
  <si>
    <t xml:space="preserve">Муниципальное унитарное предприятие "Горкомхоз" МО "город Красноуфимск", г.Красноуфимск</t>
  </si>
  <si>
    <t xml:space="preserve">6619008310</t>
  </si>
  <si>
    <t xml:space="preserve">17-01-2003 00:00:00</t>
  </si>
  <si>
    <t xml:space="preserve">26481112</t>
  </si>
  <si>
    <t xml:space="preserve">Муниципальное унитарное предприятие "ЖКХ-Манчаж", с. Манчаж</t>
  </si>
  <si>
    <t xml:space="preserve">6646013453</t>
  </si>
  <si>
    <t xml:space="preserve">27811327</t>
  </si>
  <si>
    <t xml:space="preserve">Муниципальное унитарное предприятие "Муниципальная управляющая компания городского округа Красноуральск", г. Красноуральск</t>
  </si>
  <si>
    <t xml:space="preserve">6620016876</t>
  </si>
  <si>
    <t xml:space="preserve">03-10-2011 00:00:00</t>
  </si>
  <si>
    <t xml:space="preserve">27823487</t>
  </si>
  <si>
    <t xml:space="preserve">Муниципальное унитарное предприятие "Невьянский водоканал" Невьянского городского округа, г. Невьянск</t>
  </si>
  <si>
    <t xml:space="preserve">6682001206</t>
  </si>
  <si>
    <t xml:space="preserve">28891382</t>
  </si>
  <si>
    <t xml:space="preserve">Муниципальное унитарное предприятие "Пригородная управляющая компания", с. Покровское</t>
  </si>
  <si>
    <t xml:space="preserve">6623094664</t>
  </si>
  <si>
    <t xml:space="preserve">12-02-2015 00:00:00</t>
  </si>
  <si>
    <t xml:space="preserve">26648012</t>
  </si>
  <si>
    <t xml:space="preserve">Муниципальное унитарное предприятие "Режевское водопроводно-канализационное предприятие", г. Реж</t>
  </si>
  <si>
    <t xml:space="preserve">6628016211</t>
  </si>
  <si>
    <t xml:space="preserve">31603858</t>
  </si>
  <si>
    <t xml:space="preserve">Муниципальное унитарное предприятие «Красноуральское водоснабжающее предприятие»</t>
  </si>
  <si>
    <t xml:space="preserve">6618002643</t>
  </si>
  <si>
    <t xml:space="preserve">31193937</t>
  </si>
  <si>
    <t xml:space="preserve">Муниципальное унитарное предприятие «Полевская специализированная компания» Полевского городского округа, г. Полевской</t>
  </si>
  <si>
    <t xml:space="preserve">6626009378</t>
  </si>
  <si>
    <t xml:space="preserve">26481096</t>
  </si>
  <si>
    <t xml:space="preserve">Муниципальное унитарное предприятие Березовское водо-канализационное хозяйство "Водоканал", г.Березовский</t>
  </si>
  <si>
    <t xml:space="preserve">6604017216</t>
  </si>
  <si>
    <t xml:space="preserve">25-07-2006 00:00:00</t>
  </si>
  <si>
    <t xml:space="preserve">31269520</t>
  </si>
  <si>
    <t xml:space="preserve">Муниципальное унитарное предприятие Нижнетуринского городского округа "Искра", г. Нижняя Тура</t>
  </si>
  <si>
    <t xml:space="preserve">6681009925</t>
  </si>
  <si>
    <t xml:space="preserve">26481139</t>
  </si>
  <si>
    <t xml:space="preserve">Муниципальное унитарное предприятие Новоуральского ГО "Водопроводно-канализационное хозяйство", г. Новоуральск</t>
  </si>
  <si>
    <t xml:space="preserve">6629007749</t>
  </si>
  <si>
    <t xml:space="preserve">10-12-2002 00:00:00</t>
  </si>
  <si>
    <t xml:space="preserve">26481168</t>
  </si>
  <si>
    <t xml:space="preserve">Муниципальное унитарное предприятие Пышминского городского округа "Водоканалсервис", р.п.Пышма</t>
  </si>
  <si>
    <t xml:space="preserve">6649004009</t>
  </si>
  <si>
    <t xml:space="preserve">28791848</t>
  </si>
  <si>
    <t xml:space="preserve">Муниципальное унитарное предприятие Талицкого городского округа "Единый водоканал", г. Талица</t>
  </si>
  <si>
    <t xml:space="preserve">6633021351</t>
  </si>
  <si>
    <t xml:space="preserve">31-07-2014 00:00:00</t>
  </si>
  <si>
    <t xml:space="preserve">28941377</t>
  </si>
  <si>
    <t xml:space="preserve">Муниципальное унитарное предприятие городского округа Богданович "Водоканал", г. Богданович</t>
  </si>
  <si>
    <t xml:space="preserve">6633022877</t>
  </si>
  <si>
    <t xml:space="preserve">11-03-2015 00:00:00</t>
  </si>
  <si>
    <t xml:space="preserve">28830192</t>
  </si>
  <si>
    <t xml:space="preserve">Муниципальное унитарное предприятие городского округа Заречный "Теплоснабжение", г. Заречный</t>
  </si>
  <si>
    <t xml:space="preserve">6683002019</t>
  </si>
  <si>
    <t xml:space="preserve">03-12-2014 00:00:00</t>
  </si>
  <si>
    <t xml:space="preserve">28149803</t>
  </si>
  <si>
    <t xml:space="preserve">Муниципальное унитарное предприятие жилищно-коммунального хозяйства "Водоканал", г. Туринск</t>
  </si>
  <si>
    <t xml:space="preserve">6676001670</t>
  </si>
  <si>
    <t xml:space="preserve">26479195</t>
  </si>
  <si>
    <t xml:space="preserve">Муниципальное унитарное предприятие жилищно-коммунального хозяйства "Техник", п.Юшала</t>
  </si>
  <si>
    <t xml:space="preserve">6655003187</t>
  </si>
  <si>
    <t xml:space="preserve">30982643</t>
  </si>
  <si>
    <t xml:space="preserve">ООО "АВТ Плюс", г. Екатеринбург</t>
  </si>
  <si>
    <t xml:space="preserve">6685131147</t>
  </si>
  <si>
    <t xml:space="preserve">31239809</t>
  </si>
  <si>
    <t xml:space="preserve">ООО "Инфраструктурные решения - город Лесной", г. Лесной</t>
  </si>
  <si>
    <t xml:space="preserve">6681010060</t>
  </si>
  <si>
    <t xml:space="preserve">30994593</t>
  </si>
  <si>
    <t xml:space="preserve">ООО "Паритет", с. Нижняя Синячиха</t>
  </si>
  <si>
    <t xml:space="preserve">6601010325</t>
  </si>
  <si>
    <t xml:space="preserve">31641092</t>
  </si>
  <si>
    <t xml:space="preserve">ООО "Первоуральский"</t>
  </si>
  <si>
    <t xml:space="preserve">6684041028</t>
  </si>
  <si>
    <t xml:space="preserve">31738415</t>
  </si>
  <si>
    <t xml:space="preserve">ООО "Промышленные инновации"</t>
  </si>
  <si>
    <t xml:space="preserve">7727373294</t>
  </si>
  <si>
    <t xml:space="preserve">772701001</t>
  </si>
  <si>
    <t xml:space="preserve">31316593</t>
  </si>
  <si>
    <t xml:space="preserve">ООО "Система"</t>
  </si>
  <si>
    <t xml:space="preserve">6685160162</t>
  </si>
  <si>
    <t xml:space="preserve">31529061</t>
  </si>
  <si>
    <t xml:space="preserve">ООО "Терра Груп"</t>
  </si>
  <si>
    <t xml:space="preserve">6658244536</t>
  </si>
  <si>
    <t xml:space="preserve">31433047</t>
  </si>
  <si>
    <t xml:space="preserve">ООО "Управляющая компания "Николин ключ"</t>
  </si>
  <si>
    <t xml:space="preserve">6672359507</t>
  </si>
  <si>
    <t xml:space="preserve">31573848</t>
  </si>
  <si>
    <t xml:space="preserve">ООО "Чистая вода"</t>
  </si>
  <si>
    <t xml:space="preserve">6679127872</t>
  </si>
  <si>
    <t xml:space="preserve">30947664</t>
  </si>
  <si>
    <t xml:space="preserve">ООО «ВК «Солнечный»</t>
  </si>
  <si>
    <t xml:space="preserve">6671023920</t>
  </si>
  <si>
    <t xml:space="preserve">30418894</t>
  </si>
  <si>
    <t xml:space="preserve">Общество с ограниченной отвественностью "Союз Инвест" г. Екатеринбург</t>
  </si>
  <si>
    <t xml:space="preserve">6673247203</t>
  </si>
  <si>
    <t xml:space="preserve">30833791</t>
  </si>
  <si>
    <t xml:space="preserve">Общество с ограниченной ответственностью "АКВА-РЕСУРС", г. Екатеринбург</t>
  </si>
  <si>
    <t xml:space="preserve">6679093302</t>
  </si>
  <si>
    <t xml:space="preserve">26631938</t>
  </si>
  <si>
    <t xml:space="preserve">Общество с ограниченной ответственностью "Агрофирма "Импульс", с.Шухруповское</t>
  </si>
  <si>
    <t xml:space="preserve">6656008477</t>
  </si>
  <si>
    <t xml:space="preserve">665601001</t>
  </si>
  <si>
    <t xml:space="preserve">27-04-2006 00:00:00</t>
  </si>
  <si>
    <t xml:space="preserve">26480996</t>
  </si>
  <si>
    <t xml:space="preserve">Общество с ограниченной ответственностью "Аква-сервис", п.Кедровка</t>
  </si>
  <si>
    <t xml:space="preserve">6604024527</t>
  </si>
  <si>
    <t xml:space="preserve">30474783</t>
  </si>
  <si>
    <t xml:space="preserve">Общество с ограниченной ответственностью "АкваКаскад", г.Екатеринбург</t>
  </si>
  <si>
    <t xml:space="preserve">6671455818</t>
  </si>
  <si>
    <t xml:space="preserve">28421431</t>
  </si>
  <si>
    <t xml:space="preserve">Общество с ограниченной ответственностью "БуланашКомплекс", п. Буланаш</t>
  </si>
  <si>
    <t xml:space="preserve">6658221120</t>
  </si>
  <si>
    <t xml:space="preserve">660201001</t>
  </si>
  <si>
    <t xml:space="preserve">22-10-2013 00:00:00</t>
  </si>
  <si>
    <t xml:space="preserve">26481211</t>
  </si>
  <si>
    <t xml:space="preserve">Общество с ограниченной ответственностью "ВИЗ-Сталь", г.Екатеринбург</t>
  </si>
  <si>
    <t xml:space="preserve">6658084667</t>
  </si>
  <si>
    <t xml:space="preserve">28955483</t>
  </si>
  <si>
    <t xml:space="preserve">Общество с ограниченной ответственностью "Водоканал-Ирбит", г. Ирбит</t>
  </si>
  <si>
    <t xml:space="preserve">6676003950</t>
  </si>
  <si>
    <t xml:space="preserve">23-04-2015 00:00:00</t>
  </si>
  <si>
    <t xml:space="preserve">27-03-2024 00:00:00</t>
  </si>
  <si>
    <t xml:space="preserve">26479536</t>
  </si>
  <si>
    <t xml:space="preserve">Общество с ограниченной ответственностью "Водоканал-НТ", г.Нижний Тагил</t>
  </si>
  <si>
    <t xml:space="preserve">6623034200</t>
  </si>
  <si>
    <t xml:space="preserve">13-09-2006 00:00:00</t>
  </si>
  <si>
    <t xml:space="preserve">28492104</t>
  </si>
  <si>
    <t xml:space="preserve">Общество с ограниченной ответственностью "Водолей", г. Кушва</t>
  </si>
  <si>
    <t xml:space="preserve">6681003994</t>
  </si>
  <si>
    <t xml:space="preserve">13-03-2014 00:00:00</t>
  </si>
  <si>
    <t xml:space="preserve">26578181</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</si>
  <si>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</si>
  <si>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 xml:space="preserve">667002001</t>
  </si>
  <si>
    <t xml:space="preserve">29-06-1999 00:00:00</t>
  </si>
  <si>
    <t xml:space="preserve">28012314</t>
  </si>
  <si>
    <t xml:space="preserve">Общество с ограниченной ответственностью "Городская ТеплоЭнергоКомпания", г. Екатеринбург</t>
  </si>
  <si>
    <t xml:space="preserve">6670187789</t>
  </si>
  <si>
    <t xml:space="preserve">25-10-2007 00:00:00</t>
  </si>
  <si>
    <t xml:space="preserve">30424947</t>
  </si>
  <si>
    <t xml:space="preserve">Общество с ограниченной ответственностью "Комсервис", г. Екатеринбург</t>
  </si>
  <si>
    <t xml:space="preserve">6679075504</t>
  </si>
  <si>
    <t xml:space="preserve">28966654</t>
  </si>
  <si>
    <t xml:space="preserve">Общество с ограниченной ответственностью "Новолялинский целлюлозно-бумажный комбинат", г. Новая Ляля</t>
  </si>
  <si>
    <t xml:space="preserve">6680005195</t>
  </si>
  <si>
    <t xml:space="preserve">31319165</t>
  </si>
  <si>
    <t xml:space="preserve">Общество с ограниченной ответственностью "РСК ИЛАН"</t>
  </si>
  <si>
    <t xml:space="preserve">6633027233</t>
  </si>
  <si>
    <t xml:space="preserve">19-06-2019 00:00:00</t>
  </si>
  <si>
    <t xml:space="preserve">26481185</t>
  </si>
  <si>
    <t xml:space="preserve">Общество с ограниченной ответственностью "Тепловодоканал", г.Среднеуральск</t>
  </si>
  <si>
    <t xml:space="preserve">6606022123</t>
  </si>
  <si>
    <t xml:space="preserve">09-02-2006 00:00:00</t>
  </si>
  <si>
    <t xml:space="preserve">26851341</t>
  </si>
  <si>
    <t xml:space="preserve">Общество с ограниченной ответственностью "Триумф", г. Екатеринбург</t>
  </si>
  <si>
    <t xml:space="preserve">6671458946</t>
  </si>
  <si>
    <t xml:space="preserve">18-04-2003 00:00:00</t>
  </si>
  <si>
    <t xml:space="preserve">28941771</t>
  </si>
  <si>
    <t xml:space="preserve">Общество с ограниченной ответственностью "Чистая вода", г. Полевской</t>
  </si>
  <si>
    <t xml:space="preserve">6626021840</t>
  </si>
  <si>
    <t xml:space="preserve">13-03-2015 00:00:00</t>
  </si>
  <si>
    <t xml:space="preserve">28016272</t>
  </si>
  <si>
    <t xml:space="preserve">Общество с ограниченной ответственностью "Энергетик ИС", г. Нижняя Тура</t>
  </si>
  <si>
    <t xml:space="preserve">6681000111</t>
  </si>
  <si>
    <t xml:space="preserve">28814531</t>
  </si>
  <si>
    <t xml:space="preserve">Общество с ограниченной ответственностью Дочернее сельскохозяйственное предприятие "Совхоз Богословский", г. Краснотурьинск</t>
  </si>
  <si>
    <t xml:space="preserve">6617007053</t>
  </si>
  <si>
    <t xml:space="preserve">18-09-2014 00:00:00</t>
  </si>
  <si>
    <t xml:space="preserve">27580797</t>
  </si>
  <si>
    <t xml:space="preserve">Открытое акционерное общество "Линде Уралтехгаз", г. Екатеринбург</t>
  </si>
  <si>
    <t xml:space="preserve">6659010266</t>
  </si>
  <si>
    <t xml:space="preserve">26322673</t>
  </si>
  <si>
    <t xml:space="preserve">Открытое акционерное общество "Севуралбокситруда", г.Североуральск</t>
  </si>
  <si>
    <t xml:space="preserve">6631001159</t>
  </si>
  <si>
    <t xml:space="preserve">26481262</t>
  </si>
  <si>
    <t xml:space="preserve">Первоуральское производственное муниципальное унитарное предприятие "Водоканал", г.Первоуральск</t>
  </si>
  <si>
    <t xml:space="preserve">6625018355</t>
  </si>
  <si>
    <t xml:space="preserve">22-09-1997 00:00:00</t>
  </si>
  <si>
    <t xml:space="preserve">27583222</t>
  </si>
  <si>
    <t xml:space="preserve">Сельскохозяйственный производственный кооператив "Большеутинский", с. Большой Ут</t>
  </si>
  <si>
    <t xml:space="preserve">6637000176</t>
  </si>
  <si>
    <t xml:space="preserve">663701001</t>
  </si>
  <si>
    <t xml:space="preserve">26631758</t>
  </si>
  <si>
    <t xml:space="preserve">Сельскохозяйственный производственный кооператив "Завет Ильича", д.Бердюгина</t>
  </si>
  <si>
    <t xml:space="preserve">6642000365</t>
  </si>
  <si>
    <t xml:space="preserve">26763272</t>
  </si>
  <si>
    <t xml:space="preserve">Сельскохозяйственный производственный кооператив "Колхоз "Дружба", д.Речкалова</t>
  </si>
  <si>
    <t xml:space="preserve">6642000541</t>
  </si>
  <si>
    <t xml:space="preserve">16-06-2000 00:00:00</t>
  </si>
  <si>
    <t xml:space="preserve">26631902</t>
  </si>
  <si>
    <t xml:space="preserve">Сельскохозяйственный производственный кооператив "Колхоз имени Кирова", с.Черемыш</t>
  </si>
  <si>
    <t xml:space="preserve">6649000251</t>
  </si>
  <si>
    <t xml:space="preserve">27579144</t>
  </si>
  <si>
    <t xml:space="preserve">Сельскохозяйственный производственный кооператив "Объединение "Уральская здравница", г.Екатеринбург</t>
  </si>
  <si>
    <t xml:space="preserve">6660018206</t>
  </si>
  <si>
    <t xml:space="preserve">26481175</t>
  </si>
  <si>
    <t xml:space="preserve">Сельскохозяйственный производственный кооператив "Пламя", с.Невьянское</t>
  </si>
  <si>
    <t xml:space="preserve">6635001015</t>
  </si>
  <si>
    <t xml:space="preserve">26631750</t>
  </si>
  <si>
    <t xml:space="preserve">Сельскохозяйственный производственный кооператив "Пригородное", п.Спутник</t>
  </si>
  <si>
    <t xml:space="preserve">6611009022</t>
  </si>
  <si>
    <t xml:space="preserve">26850837</t>
  </si>
  <si>
    <t xml:space="preserve">Сельскохозяйственный производственный кооператив "Путиловский", с.Останино</t>
  </si>
  <si>
    <t xml:space="preserve">6635000614</t>
  </si>
  <si>
    <t xml:space="preserve">26631756</t>
  </si>
  <si>
    <t xml:space="preserve">Сельскохозяйственный производственный кооператив им. Жукова, д.Б.Кочевка</t>
  </si>
  <si>
    <t xml:space="preserve">6642000076</t>
  </si>
  <si>
    <t xml:space="preserve">26481256</t>
  </si>
  <si>
    <t xml:space="preserve">Унитарное муниципальное предприятие "Водоканал" городского округа Ревда, г.Ревда</t>
  </si>
  <si>
    <t xml:space="preserve">6627012077</t>
  </si>
  <si>
    <t xml:space="preserve">09-06-2000 00:00:00</t>
  </si>
  <si>
    <t xml:space="preserve">26481074</t>
  </si>
  <si>
    <t xml:space="preserve">Федеральное государственное унитарное предприятие "Российская телевизионная и радиовещательная сеть" филиал "Свердловский областной радиотелевизионный передающий центр", г.Екатеринбург</t>
  </si>
  <si>
    <t xml:space="preserve">7717127211</t>
  </si>
  <si>
    <t xml:space="preserve">27782333</t>
  </si>
  <si>
    <t xml:space="preserve">Акционерное общество "Полевской металлофурнитурный завод", г.Полевской</t>
  </si>
  <si>
    <t xml:space="preserve">6626000978</t>
  </si>
  <si>
    <t xml:space="preserve">29-06-1993 00:00:00</t>
  </si>
  <si>
    <t xml:space="preserve">26631922</t>
  </si>
  <si>
    <t xml:space="preserve">Акционерное общество "Уралгидромаш", г.Сысерть</t>
  </si>
  <si>
    <t xml:space="preserve">6652028306</t>
  </si>
  <si>
    <t xml:space="preserve">28090447</t>
  </si>
  <si>
    <t xml:space="preserve">Акционерное общество племенной птицеводческий завод "Свердловский", с. Кашино</t>
  </si>
  <si>
    <t xml:space="preserve">6652021822</t>
  </si>
  <si>
    <t xml:space="preserve">31324454</t>
  </si>
  <si>
    <t xml:space="preserve">ГАУЗ СО "ОСЦМР "Санаторий Обуховский"</t>
  </si>
  <si>
    <t xml:space="preserve">6633027900</t>
  </si>
  <si>
    <t xml:space="preserve">26632466</t>
  </si>
  <si>
    <t xml:space="preserve">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</si>
  <si>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 xml:space="preserve">6658342646</t>
  </si>
  <si>
    <t xml:space="preserve">30-04-2009 00:00:00</t>
  </si>
  <si>
    <t xml:space="preserve">26481704</t>
  </si>
  <si>
    <t xml:space="preserve">Закрытое акционерное общество "Пассажирская автоколонна", г.Ревда</t>
  </si>
  <si>
    <t xml:space="preserve">6627010009</t>
  </si>
  <si>
    <t xml:space="preserve">31232245</t>
  </si>
  <si>
    <t xml:space="preserve">МБУ "Водоотведение и искусственные сооружения"</t>
  </si>
  <si>
    <t xml:space="preserve">6672279114</t>
  </si>
  <si>
    <t xml:space="preserve">31432616</t>
  </si>
  <si>
    <t xml:space="preserve">МУП "Белоярскспецавтотранс"</t>
  </si>
  <si>
    <t xml:space="preserve">6683001576</t>
  </si>
  <si>
    <t xml:space="preserve">31535140</t>
  </si>
  <si>
    <t xml:space="preserve">МУП "Водоотведение" Белоярский городской округ</t>
  </si>
  <si>
    <t xml:space="preserve">6683018241</t>
  </si>
  <si>
    <t xml:space="preserve">31348366</t>
  </si>
  <si>
    <t xml:space="preserve">МУП НГО «Сток»</t>
  </si>
  <si>
    <t xml:space="preserve">6680008809</t>
  </si>
  <si>
    <t xml:space="preserve">31421309</t>
  </si>
  <si>
    <t xml:space="preserve">МУП Талицкого городского округа "Единая управляющая компания ТГО"</t>
  </si>
  <si>
    <t xml:space="preserve">6633023599</t>
  </si>
  <si>
    <t xml:space="preserve">31357312</t>
  </si>
  <si>
    <t xml:space="preserve">ООО "АМБ-групп"</t>
  </si>
  <si>
    <t xml:space="preserve">6639016140</t>
  </si>
  <si>
    <t xml:space="preserve">31474246</t>
  </si>
  <si>
    <t xml:space="preserve">ООО "РадексСтоун Технолоджи"</t>
  </si>
  <si>
    <t xml:space="preserve">6685137935</t>
  </si>
  <si>
    <t xml:space="preserve">31336317</t>
  </si>
  <si>
    <t xml:space="preserve">ООО «Талводоканал»</t>
  </si>
  <si>
    <t xml:space="preserve">6633027392</t>
  </si>
  <si>
    <t xml:space="preserve">28466278</t>
  </si>
  <si>
    <t xml:space="preserve">Общество с ограниченной отвественностью "Урал Процесс Инжиниринг Компания", г. Екатеринбург</t>
  </si>
  <si>
    <t xml:space="preserve">6661102242</t>
  </si>
  <si>
    <t xml:space="preserve">03-02-2014 00:00:00</t>
  </si>
  <si>
    <t xml:space="preserve">28857572</t>
  </si>
  <si>
    <t xml:space="preserve">Общество с ограниченной ответственностью "Богдановичские очистные сооружения", г. Богданович</t>
  </si>
  <si>
    <t xml:space="preserve">6633022676</t>
  </si>
  <si>
    <t xml:space="preserve">15-12-2014 00:00:00</t>
  </si>
  <si>
    <t xml:space="preserve">26479516</t>
  </si>
  <si>
    <t xml:space="preserve">Общество с ограниченной ответственностью "Коммунально-тепловые Сети", г. Ирбит</t>
  </si>
  <si>
    <t xml:space="preserve">6611010660</t>
  </si>
  <si>
    <t xml:space="preserve">26481231</t>
  </si>
  <si>
    <t xml:space="preserve">Общество с ограниченной ответственностью "Нижнетагильская птицефабрика", с.Покровское</t>
  </si>
  <si>
    <t xml:space="preserve">6623015077</t>
  </si>
  <si>
    <t xml:space="preserve">30356026</t>
  </si>
  <si>
    <t xml:space="preserve">Общество с ограниченной ответственностью "Прогресс", г.Артемовский</t>
  </si>
  <si>
    <t xml:space="preserve">6677008372</t>
  </si>
  <si>
    <t xml:space="preserve">26631752</t>
  </si>
  <si>
    <t xml:space="preserve">Общество с ограниченной ответственностью "Резерв", г.Ирбит</t>
  </si>
  <si>
    <t xml:space="preserve">6611012755</t>
  </si>
  <si>
    <t xml:space="preserve">27975987</t>
  </si>
  <si>
    <t xml:space="preserve">Общество с ограниченной ответственностью "Сигнал", г. Серов</t>
  </si>
  <si>
    <t xml:space="preserve">6680000038</t>
  </si>
  <si>
    <t xml:space="preserve">13-09-2011 00:00:00</t>
  </si>
  <si>
    <t xml:space="preserve">28063309</t>
  </si>
  <si>
    <t xml:space="preserve">Общество с ограниченной ответственностью "Тавдинский фанерно-плитный комбинат", г. Тавда</t>
  </si>
  <si>
    <t xml:space="preserve">6676001007</t>
  </si>
  <si>
    <t xml:space="preserve">28857561</t>
  </si>
  <si>
    <t xml:space="preserve">Общество с ограниченной ответственностью "Уральская водопромышленная компания", г. Екатеринбург</t>
  </si>
  <si>
    <t xml:space="preserve">6670396528</t>
  </si>
  <si>
    <t xml:space="preserve">30848274</t>
  </si>
  <si>
    <t xml:space="preserve">Общество с ограниченной ответственностью "Уральские локомотивы", г. Верхняя Пышма</t>
  </si>
  <si>
    <t xml:space="preserve">6606033929</t>
  </si>
  <si>
    <t xml:space="preserve">28877860</t>
  </si>
  <si>
    <t xml:space="preserve">Общество с ограниченной ответственностью "Экология", г. Артемовский</t>
  </si>
  <si>
    <t xml:space="preserve">6633011829</t>
  </si>
  <si>
    <t xml:space="preserve">30-01-2015 00:00:00</t>
  </si>
  <si>
    <t xml:space="preserve">30848607</t>
  </si>
  <si>
    <t xml:space="preserve">Общество с ограниченной ответственностью «Промливнесток+»</t>
  </si>
  <si>
    <t xml:space="preserve">6685113980</t>
  </si>
  <si>
    <t xml:space="preserve">28156467</t>
  </si>
  <si>
    <t xml:space="preserve">Федеральное казенное учреждение "Колония-поселение № 59 ГУФСИН по Свердловской области", г. Каменск-Уральский</t>
  </si>
  <si>
    <t xml:space="preserve">6610001197</t>
  </si>
  <si>
    <t xml:space="preserve">27554243</t>
  </si>
  <si>
    <t xml:space="preserve">Частное учреждение "Санаторий-профилакторий "Леневка", п.Леневка</t>
  </si>
  <si>
    <t xml:space="preserve">6669012262</t>
  </si>
  <si>
    <t xml:space="preserve">666901001</t>
  </si>
  <si>
    <t xml:space="preserve">26382680</t>
  </si>
  <si>
    <t xml:space="preserve">Акционерное общество "Горвнешблагоустройство", г.Каменск-Уральский</t>
  </si>
  <si>
    <t xml:space="preserve">6612019658</t>
  </si>
  <si>
    <t xml:space="preserve">26382675</t>
  </si>
  <si>
    <t xml:space="preserve">Екатеринбургское муниципальное унитарное предприятие "Спецавтобаза", г.Екатеринбург</t>
  </si>
  <si>
    <t xml:space="preserve">6608003655</t>
  </si>
  <si>
    <t xml:space="preserve">26382676</t>
  </si>
  <si>
    <t xml:space="preserve">Индивидуальный предприниматель Костенко Владимир Викторович, г.Заречный</t>
  </si>
  <si>
    <t xml:space="preserve">660900028596</t>
  </si>
  <si>
    <t xml:space="preserve">28502776</t>
  </si>
  <si>
    <t xml:space="preserve">Муниципальное бюджетное учреждение "Муниципальный заказчик"</t>
  </si>
  <si>
    <t xml:space="preserve">6620015826</t>
  </si>
  <si>
    <t xml:space="preserve">23-04-2014 00:00:00</t>
  </si>
  <si>
    <t xml:space="preserve">28967903</t>
  </si>
  <si>
    <t xml:space="preserve">Муниципальное бюджетное учреждение "Служба Организации Благоустройства и Развития" Муниципального образования р.п. Атиг, п. Атиг</t>
  </si>
  <si>
    <t xml:space="preserve">6619016159</t>
  </si>
  <si>
    <t xml:space="preserve">15-05-2015 00:00:00</t>
  </si>
  <si>
    <t xml:space="preserve">28176778</t>
  </si>
  <si>
    <t xml:space="preserve">Муниципальное бюджетное учреждение "Управление хозяйством Невьянского городского округа", г. Невьянск</t>
  </si>
  <si>
    <t xml:space="preserve">6621010299</t>
  </si>
  <si>
    <t xml:space="preserve">26382671</t>
  </si>
  <si>
    <t xml:space="preserve">Муниципальное казенное предприятие "Вторресурсы" Асбестовского городского округа, г.Асбест</t>
  </si>
  <si>
    <t xml:space="preserve">6603013392</t>
  </si>
  <si>
    <t xml:space="preserve">26382709</t>
  </si>
  <si>
    <t xml:space="preserve">Муниципальное предприятие "Серовавтодор", г.Серов</t>
  </si>
  <si>
    <t xml:space="preserve">6632003575</t>
  </si>
  <si>
    <t xml:space="preserve">663201001</t>
  </si>
  <si>
    <t xml:space="preserve">28119594</t>
  </si>
  <si>
    <t xml:space="preserve">Муниципальное унитарное предприятие "Благоустройство", г. Богданович</t>
  </si>
  <si>
    <t xml:space="preserve">6605007940</t>
  </si>
  <si>
    <t xml:space="preserve">660501001</t>
  </si>
  <si>
    <t xml:space="preserve">26631796</t>
  </si>
  <si>
    <t xml:space="preserve">Муниципальное унитарное предприятие "Волчанский автоэлектротранспорт", г.Волчанск</t>
  </si>
  <si>
    <t xml:space="preserve">6614003692</t>
  </si>
  <si>
    <t xml:space="preserve">27567744</t>
  </si>
  <si>
    <t xml:space="preserve">Муниципальное унитарное предприятие "Голана", п.Пелым</t>
  </si>
  <si>
    <t xml:space="preserve">6610003050</t>
  </si>
  <si>
    <t xml:space="preserve">661001001</t>
  </si>
  <si>
    <t xml:space="preserve">26382710</t>
  </si>
  <si>
    <t xml:space="preserve">Муниципальное унитарное предприятие "Горкомхоз", г.Сухой Лог</t>
  </si>
  <si>
    <t xml:space="preserve">6633008760</t>
  </si>
  <si>
    <t xml:space="preserve">28535922</t>
  </si>
  <si>
    <t xml:space="preserve">Муниципальное унитарное предприятие "Ивдельское пассажирское автотранспортное предприятие", г. Ивдель</t>
  </si>
  <si>
    <t xml:space="preserve">6610000122</t>
  </si>
  <si>
    <t xml:space="preserve">24-06-2014 00:00:00</t>
  </si>
  <si>
    <t xml:space="preserve">26382706</t>
  </si>
  <si>
    <t xml:space="preserve">Муниципальное унитарное предприятие "Комбинат благоустройства", г.Лесной</t>
  </si>
  <si>
    <t xml:space="preserve">6630000138</t>
  </si>
  <si>
    <t xml:space="preserve">26648972</t>
  </si>
  <si>
    <t xml:space="preserve">Муниципальное унитарное предприятие "Нива", г. Новоуральск</t>
  </si>
  <si>
    <t xml:space="preserve">6629010950</t>
  </si>
  <si>
    <t xml:space="preserve">26382670</t>
  </si>
  <si>
    <t xml:space="preserve">Муниципальное унитарное предприятие "Производственный трест жилищно-коммунального хозяйства" городского округа Рефтинский, п.Рефтинский</t>
  </si>
  <si>
    <t xml:space="preserve">6603010391</t>
  </si>
  <si>
    <t xml:space="preserve">26382705</t>
  </si>
  <si>
    <t xml:space="preserve">Муниципальное унитарное предприятие "Ритуал" г. Новоуральск</t>
  </si>
  <si>
    <t xml:space="preserve">6629015450</t>
  </si>
  <si>
    <t xml:space="preserve">26631732</t>
  </si>
  <si>
    <t xml:space="preserve">Муниципальное унитарное предприятие "Чистый город", г.Нижняя Салда</t>
  </si>
  <si>
    <t xml:space="preserve">6607013160</t>
  </si>
  <si>
    <t xml:space="preserve">26631848</t>
  </si>
  <si>
    <t xml:space="preserve">Муниципальное унитарное предприятие "Чистый город", г.Реж</t>
  </si>
  <si>
    <t xml:space="preserve">6628015426</t>
  </si>
  <si>
    <t xml:space="preserve">26648621</t>
  </si>
  <si>
    <t xml:space="preserve">Муниципальное унитарное предприятие Артинского городского округа "Уют-Сервис", п.Арти</t>
  </si>
  <si>
    <t xml:space="preserve">6646016574</t>
  </si>
  <si>
    <t xml:space="preserve">26631812</t>
  </si>
  <si>
    <t xml:space="preserve">Муниципальное унитарное предприятие городского округа Красноуфимск "Чистый город", г.Красноуфимск</t>
  </si>
  <si>
    <t xml:space="preserve">6619013535</t>
  </si>
  <si>
    <t xml:space="preserve">31524744</t>
  </si>
  <si>
    <t xml:space="preserve">ООО "ВТОРСБЫТ"</t>
  </si>
  <si>
    <t xml:space="preserve">6670487768</t>
  </si>
  <si>
    <t xml:space="preserve">31696506</t>
  </si>
  <si>
    <t xml:space="preserve">ООО "Вывоз отходов"</t>
  </si>
  <si>
    <t xml:space="preserve">1660098160</t>
  </si>
  <si>
    <t xml:space="preserve">31096007</t>
  </si>
  <si>
    <t xml:space="preserve">ООО "Компания "Рифей"</t>
  </si>
  <si>
    <t xml:space="preserve">7204189710</t>
  </si>
  <si>
    <t xml:space="preserve">31697776</t>
  </si>
  <si>
    <t xml:space="preserve">ООО "Орион"</t>
  </si>
  <si>
    <t xml:space="preserve">6949110336</t>
  </si>
  <si>
    <t xml:space="preserve">30920163</t>
  </si>
  <si>
    <t xml:space="preserve">ООО "ПМ Технология", г.Екатеринбург</t>
  </si>
  <si>
    <t xml:space="preserve">6685033397</t>
  </si>
  <si>
    <t xml:space="preserve">31696224</t>
  </si>
  <si>
    <t xml:space="preserve">ООО "ППР компания"</t>
  </si>
  <si>
    <t xml:space="preserve">6671062782</t>
  </si>
  <si>
    <t xml:space="preserve">31438633</t>
  </si>
  <si>
    <t xml:space="preserve">ООО "Сухоложский полигон"</t>
  </si>
  <si>
    <t xml:space="preserve">6678102339</t>
  </si>
  <si>
    <t xml:space="preserve">31699943</t>
  </si>
  <si>
    <t xml:space="preserve">ООО "ТКО-сервис"</t>
  </si>
  <si>
    <t xml:space="preserve">7203440391</t>
  </si>
  <si>
    <t xml:space="preserve">31691117</t>
  </si>
  <si>
    <t xml:space="preserve">ООО "ТРАНССЕРВИС"</t>
  </si>
  <si>
    <t xml:space="preserve">6674322774</t>
  </si>
  <si>
    <t xml:space="preserve">30989599</t>
  </si>
  <si>
    <t xml:space="preserve">ООО "Уралвторма", г. Екатеринбург</t>
  </si>
  <si>
    <t xml:space="preserve">6671007380</t>
  </si>
  <si>
    <t xml:space="preserve">31711048</t>
  </si>
  <si>
    <t xml:space="preserve">ООО "ЭКО-Регул"</t>
  </si>
  <si>
    <t xml:space="preserve">6684032175</t>
  </si>
  <si>
    <t xml:space="preserve">31050240</t>
  </si>
  <si>
    <t xml:space="preserve">ООО "Экос"</t>
  </si>
  <si>
    <t xml:space="preserve">6679002760</t>
  </si>
  <si>
    <t xml:space="preserve">31226941</t>
  </si>
  <si>
    <t xml:space="preserve">ООО "Экотехнопарк"</t>
  </si>
  <si>
    <t xml:space="preserve">6671082732</t>
  </si>
  <si>
    <t xml:space="preserve">31698319</t>
  </si>
  <si>
    <t xml:space="preserve">ООО "Экотехпром"</t>
  </si>
  <si>
    <t xml:space="preserve">6684010894</t>
  </si>
  <si>
    <t xml:space="preserve">31696510</t>
  </si>
  <si>
    <t xml:space="preserve">ООО "Экотрансгруз"</t>
  </si>
  <si>
    <t xml:space="preserve">6678076110</t>
  </si>
  <si>
    <t xml:space="preserve">31559662</t>
  </si>
  <si>
    <t xml:space="preserve">ООО «Экологические системы»</t>
  </si>
  <si>
    <t xml:space="preserve">6671109455</t>
  </si>
  <si>
    <t xml:space="preserve">26482523</t>
  </si>
  <si>
    <t xml:space="preserve">Общество с ограниченной ответственностью "Алапаевский полигон", г.Алапаевск</t>
  </si>
  <si>
    <t xml:space="preserve">6601014168</t>
  </si>
  <si>
    <t xml:space="preserve">26382689</t>
  </si>
  <si>
    <t xml:space="preserve">Общество с ограниченной ответственностью "Благоустройство", г.Кушва</t>
  </si>
  <si>
    <t xml:space="preserve">6620009036</t>
  </si>
  <si>
    <t xml:space="preserve">26382700</t>
  </si>
  <si>
    <t xml:space="preserve">Общество с ограниченной ответственностью "Возрождение", г.Полевской</t>
  </si>
  <si>
    <t xml:space="preserve">6626005711</t>
  </si>
  <si>
    <t xml:space="preserve">26382701</t>
  </si>
  <si>
    <t xml:space="preserve">Общество с ограниченной ответственностью "Горкомхоз", г.Ревда</t>
  </si>
  <si>
    <t xml:space="preserve">6627012172</t>
  </si>
  <si>
    <t xml:space="preserve">26481921</t>
  </si>
  <si>
    <t xml:space="preserve">Общество с ограниченной ответственностью "Камышловские объединенные экологические системы", г.Камышлов</t>
  </si>
  <si>
    <t xml:space="preserve">6613009187</t>
  </si>
  <si>
    <t xml:space="preserve">28156349</t>
  </si>
  <si>
    <t xml:space="preserve">Общество с ограниченной ответственностью "НТЦ Экотехпром", г. Екатеринбург</t>
  </si>
  <si>
    <t xml:space="preserve">6672291312</t>
  </si>
  <si>
    <t xml:space="preserve">26481923</t>
  </si>
  <si>
    <t xml:space="preserve">Общество с ограниченной ответственностью "Поток", г.Качканар</t>
  </si>
  <si>
    <t xml:space="preserve">6615000704</t>
  </si>
  <si>
    <t xml:space="preserve">661501001</t>
  </si>
  <si>
    <t xml:space="preserve">26824072</t>
  </si>
  <si>
    <t xml:space="preserve">Общество с ограниченной ответственностью "Поток-II", п.Черноисточинск</t>
  </si>
  <si>
    <t xml:space="preserve">6623019963</t>
  </si>
  <si>
    <t xml:space="preserve">30335427</t>
  </si>
  <si>
    <t xml:space="preserve">Общество с ограниченной ответственностью "Промэко", г. Ирбит</t>
  </si>
  <si>
    <t xml:space="preserve">6678034470</t>
  </si>
  <si>
    <t xml:space="preserve">27820220</t>
  </si>
  <si>
    <t xml:space="preserve">Общество с ограниченной ответственностью "Спецтехника", г. Нижняя Тура</t>
  </si>
  <si>
    <t xml:space="preserve">6615013277</t>
  </si>
  <si>
    <t xml:space="preserve">30867015</t>
  </si>
  <si>
    <t xml:space="preserve">Общество с ограниченной ответственностью "ТБО "Экосервис", г. Первоуральск</t>
  </si>
  <si>
    <t xml:space="preserve">6684021751</t>
  </si>
  <si>
    <t xml:space="preserve">26382695</t>
  </si>
  <si>
    <t xml:space="preserve">Общество с ограниченной ответственностью "Тагилспецтранс", г.Нижний Тагил</t>
  </si>
  <si>
    <t xml:space="preserve">6623025445</t>
  </si>
  <si>
    <t xml:space="preserve">26631900</t>
  </si>
  <si>
    <t xml:space="preserve">Общество с ограниченной ответственностью "Управляющая компания "ПИК-Сервис", г.Новая Ляля</t>
  </si>
  <si>
    <t xml:space="preserve">6647004701</t>
  </si>
  <si>
    <t xml:space="preserve">664701001</t>
  </si>
  <si>
    <t xml:space="preserve">30359255</t>
  </si>
  <si>
    <t xml:space="preserve">Общество с ограниченной ответственностью "Урал-Сот Плюс", г.Березовский</t>
  </si>
  <si>
    <t xml:space="preserve">6678034488</t>
  </si>
  <si>
    <t xml:space="preserve">26648961</t>
  </si>
  <si>
    <t xml:space="preserve">Общество с ограниченной ответственностью "Утилис", г.Новоуральск</t>
  </si>
  <si>
    <t xml:space="preserve">6629004265</t>
  </si>
  <si>
    <t xml:space="preserve">30912504</t>
  </si>
  <si>
    <t xml:space="preserve">Общество с ограниченной ответственностью "ЦГС", г. Нижний Тагил</t>
  </si>
  <si>
    <t xml:space="preserve">6668020768</t>
  </si>
  <si>
    <t xml:space="preserve">26631946</t>
  </si>
  <si>
    <t xml:space="preserve">Общество с ограниченной ответственностью "Центр Клиентских Услуг", г.Артемовский</t>
  </si>
  <si>
    <t xml:space="preserve">6602012068</t>
  </si>
  <si>
    <t xml:space="preserve">26631877</t>
  </si>
  <si>
    <t xml:space="preserve">Общество с ограниченной ответственностью "Чистый город", г.Тавда</t>
  </si>
  <si>
    <t xml:space="preserve">6634011758</t>
  </si>
  <si>
    <t xml:space="preserve">26481930</t>
  </si>
  <si>
    <t xml:space="preserve">Общество с ограниченной ответственностью "Экосервис", г.Михайловск</t>
  </si>
  <si>
    <t xml:space="preserve">6646010420</t>
  </si>
  <si>
    <t xml:space="preserve">26382694</t>
  </si>
  <si>
    <t xml:space="preserve">Общество с ограниченной ответственностью "Элис", г.Нижний Тагил</t>
  </si>
  <si>
    <t xml:space="preserve">6623013778</t>
  </si>
  <si>
    <t xml:space="preserve">26850769</t>
  </si>
  <si>
    <t xml:space="preserve">Общество с ограниченной ответственностью "Энергия", г.Качканар</t>
  </si>
  <si>
    <t xml:space="preserve">6615012611</t>
  </si>
  <si>
    <t xml:space="preserve">31091790</t>
  </si>
  <si>
    <t xml:space="preserve">Общество с ограниченной ответственностью «Утилизация медицинских и промышленных отходов», п. Рассоха</t>
  </si>
  <si>
    <t xml:space="preserve">6658190312</t>
  </si>
  <si>
    <t xml:space="preserve">NSRF</t>
  </si>
  <si>
    <t xml:space="preserve">MR_NAME</t>
  </si>
  <si>
    <t xml:space="preserve">OKTMO_MR_NAME</t>
  </si>
  <si>
    <t xml:space="preserve">MO_NAME</t>
  </si>
  <si>
    <t xml:space="preserve">OKTMO_NAME</t>
  </si>
  <si>
    <t xml:space="preserve">TYPE</t>
  </si>
  <si>
    <t xml:space="preserve">MR_ID</t>
  </si>
  <si>
    <t xml:space="preserve">Арамильский городской округ</t>
  </si>
  <si>
    <t xml:space="preserve">65729000</t>
  </si>
  <si>
    <t xml:space="preserve">городской округ</t>
  </si>
  <si>
    <t xml:space="preserve">Артемовский городской округ</t>
  </si>
  <si>
    <t xml:space="preserve">65703000</t>
  </si>
  <si>
    <t xml:space="preserve">Артинский городской округ</t>
  </si>
  <si>
    <t xml:space="preserve">65704000</t>
  </si>
  <si>
    <t xml:space="preserve">Асбестовский городской округ</t>
  </si>
  <si>
    <t xml:space="preserve">65730000</t>
  </si>
  <si>
    <t xml:space="preserve">Ачитский городской округ</t>
  </si>
  <si>
    <t xml:space="preserve">65705000</t>
  </si>
  <si>
    <t xml:space="preserve">Байкаловский муниципальный район</t>
  </si>
  <si>
    <t xml:space="preserve">65608000</t>
  </si>
  <si>
    <t xml:space="preserve">Баженовское сельское поселение</t>
  </si>
  <si>
    <t xml:space="preserve">65608405</t>
  </si>
  <si>
    <t xml:space="preserve">сельское поселение</t>
  </si>
  <si>
    <t xml:space="preserve">муниципальный район</t>
  </si>
  <si>
    <t xml:space="preserve">Байкаловское сельское поселение</t>
  </si>
  <si>
    <t xml:space="preserve">65608406</t>
  </si>
  <si>
    <t xml:space="preserve">Краснополянское сельское поселение</t>
  </si>
  <si>
    <t xml:space="preserve">65608425</t>
  </si>
  <si>
    <t xml:space="preserve">Белоярский городской округ</t>
  </si>
  <si>
    <t xml:space="preserve">65706000</t>
  </si>
  <si>
    <t xml:space="preserve">Березовский городской округ</t>
  </si>
  <si>
    <t xml:space="preserve">65731000</t>
  </si>
  <si>
    <t xml:space="preserve">Бисертский городской округ</t>
  </si>
  <si>
    <t xml:space="preserve">65759000</t>
  </si>
  <si>
    <t xml:space="preserve">Верхнесалдинский городской округ</t>
  </si>
  <si>
    <t xml:space="preserve">65708000</t>
  </si>
  <si>
    <t xml:space="preserve">Волчанский городской округ</t>
  </si>
  <si>
    <t xml:space="preserve">65735000</t>
  </si>
  <si>
    <t xml:space="preserve">Гаринский городской округ</t>
  </si>
  <si>
    <t xml:space="preserve">65710000</t>
  </si>
  <si>
    <t xml:space="preserve">Горноуральский городской округ</t>
  </si>
  <si>
    <t xml:space="preserve">65717000</t>
  </si>
  <si>
    <t xml:space="preserve">Городской округ "Город Лесной"</t>
  </si>
  <si>
    <t xml:space="preserve">65749000</t>
  </si>
  <si>
    <t xml:space="preserve">Ивдельский городской округ</t>
  </si>
  <si>
    <t xml:space="preserve">65738000</t>
  </si>
  <si>
    <t xml:space="preserve">Ирбитское муниципальное образование</t>
  </si>
  <si>
    <t xml:space="preserve">65711000</t>
  </si>
  <si>
    <t xml:space="preserve">Каменский городской округ</t>
  </si>
  <si>
    <t xml:space="preserve">65712000</t>
  </si>
  <si>
    <t xml:space="preserve">Камышловский городской округ</t>
  </si>
  <si>
    <t xml:space="preserve">65741000</t>
  </si>
  <si>
    <t xml:space="preserve">Качканарский городской округ</t>
  </si>
  <si>
    <t xml:space="preserve">65743000</t>
  </si>
  <si>
    <t xml:space="preserve">Кировградский городской округ</t>
  </si>
  <si>
    <t xml:space="preserve">65744000</t>
  </si>
  <si>
    <t xml:space="preserve">Кушвинский городской округ</t>
  </si>
  <si>
    <t xml:space="preserve">65748000</t>
  </si>
  <si>
    <t xml:space="preserve">Малышевский городской округ</t>
  </si>
  <si>
    <t xml:space="preserve">65762000</t>
  </si>
  <si>
    <t xml:space="preserve">Махнёвское муниципальное образование</t>
  </si>
  <si>
    <t xml:space="preserve">65769000</t>
  </si>
  <si>
    <t xml:space="preserve">Невьянский городской округ</t>
  </si>
  <si>
    <t xml:space="preserve">65714000</t>
  </si>
  <si>
    <t xml:space="preserve">Нижнесергинский муниципальный район</t>
  </si>
  <si>
    <t xml:space="preserve">65628000</t>
  </si>
  <si>
    <t xml:space="preserve">Дружининское городское поселение</t>
  </si>
  <si>
    <t xml:space="preserve">65628174</t>
  </si>
  <si>
    <t xml:space="preserve">городское поселение, в состав которого входит поселок</t>
  </si>
  <si>
    <t xml:space="preserve">Кленовское сельское поселение</t>
  </si>
  <si>
    <t xml:space="preserve">65628420</t>
  </si>
  <si>
    <t xml:space="preserve">Михайловское муниципальное образование</t>
  </si>
  <si>
    <t xml:space="preserve">65628104</t>
  </si>
  <si>
    <t xml:space="preserve">городское поселение, в состав которого входит город</t>
  </si>
  <si>
    <t xml:space="preserve">Нижнесергинское городское поселение</t>
  </si>
  <si>
    <t xml:space="preserve">65628101</t>
  </si>
  <si>
    <t xml:space="preserve">городское поселение Верхние Серги</t>
  </si>
  <si>
    <t xml:space="preserve">65628163</t>
  </si>
  <si>
    <t xml:space="preserve">муниципальное образование рабочий поселок Атиг</t>
  </si>
  <si>
    <t xml:space="preserve">65628154</t>
  </si>
  <si>
    <t xml:space="preserve">Нижнетуринский городской округ</t>
  </si>
  <si>
    <t xml:space="preserve">65715000</t>
  </si>
  <si>
    <t xml:space="preserve">Новолялинский городской округ</t>
  </si>
  <si>
    <t xml:space="preserve">65716000</t>
  </si>
  <si>
    <t xml:space="preserve">Новоуральский городской округ</t>
  </si>
  <si>
    <t xml:space="preserve">65752000</t>
  </si>
  <si>
    <t xml:space="preserve">Полевской городской округ</t>
  </si>
  <si>
    <t xml:space="preserve">65754000</t>
  </si>
  <si>
    <t xml:space="preserve">Пышминский городской округ</t>
  </si>
  <si>
    <t xml:space="preserve">65718000</t>
  </si>
  <si>
    <t xml:space="preserve">Режевской городской округ</t>
  </si>
  <si>
    <t xml:space="preserve">65720000</t>
  </si>
  <si>
    <t xml:space="preserve">Североуральский городской округ</t>
  </si>
  <si>
    <t xml:space="preserve">65755000</t>
  </si>
  <si>
    <t xml:space="preserve">Слободо-Туринский муниципальный район</t>
  </si>
  <si>
    <t xml:space="preserve">65639000</t>
  </si>
  <si>
    <t xml:space="preserve">Ницинское сельское поселение</t>
  </si>
  <si>
    <t xml:space="preserve">65639440</t>
  </si>
  <si>
    <t xml:space="preserve">Сладковское сельское поселение</t>
  </si>
  <si>
    <t xml:space="preserve">65639455</t>
  </si>
  <si>
    <t xml:space="preserve">Слободо-Туринское сельское поселение</t>
  </si>
  <si>
    <t xml:space="preserve">65639460</t>
  </si>
  <si>
    <t xml:space="preserve">Усть-Ницинское сельское поселение</t>
  </si>
  <si>
    <t xml:space="preserve">65639470</t>
  </si>
  <si>
    <t xml:space="preserve">Сосьвинский городской округ</t>
  </si>
  <si>
    <t xml:space="preserve">65721000</t>
  </si>
  <si>
    <t xml:space="preserve">Сысертский городской округ</t>
  </si>
  <si>
    <t xml:space="preserve">65722000</t>
  </si>
  <si>
    <t xml:space="preserve">Таборинский муниципальный район</t>
  </si>
  <si>
    <t xml:space="preserve">65645000</t>
  </si>
  <si>
    <t xml:space="preserve">Кузнецовское сельское поселение</t>
  </si>
  <si>
    <t xml:space="preserve">65645415</t>
  </si>
  <si>
    <t xml:space="preserve">Межселенные территории Таборинского муниципального района, находящиеся вне границ сельских поселений</t>
  </si>
  <si>
    <t xml:space="preserve">65645701</t>
  </si>
  <si>
    <t xml:space="preserve">межселенная территория</t>
  </si>
  <si>
    <t xml:space="preserve">Таборинское сельское поселение</t>
  </si>
  <si>
    <t xml:space="preserve">65645440</t>
  </si>
  <si>
    <t xml:space="preserve">Унже-Павинское сельское поселение</t>
  </si>
  <si>
    <t xml:space="preserve">65645450</t>
  </si>
  <si>
    <t xml:space="preserve">Тавдинский городской округ</t>
  </si>
  <si>
    <t xml:space="preserve">65723000</t>
  </si>
  <si>
    <t xml:space="preserve">Талицкий городской округ</t>
  </si>
  <si>
    <t xml:space="preserve">65724000</t>
  </si>
  <si>
    <t xml:space="preserve">Тугулымский городской округ</t>
  </si>
  <si>
    <t xml:space="preserve">65725000</t>
  </si>
  <si>
    <t xml:space="preserve">Туринский городской округ</t>
  </si>
  <si>
    <t xml:space="preserve">65726000</t>
  </si>
  <si>
    <t xml:space="preserve">Шалинский городской округ</t>
  </si>
  <si>
    <t xml:space="preserve">65727000</t>
  </si>
  <si>
    <t xml:space="preserve">город Каменск-Уральский</t>
  </si>
  <si>
    <t xml:space="preserve">65740000</t>
  </si>
  <si>
    <t xml:space="preserve">60</t>
  </si>
  <si>
    <t xml:space="preserve">город Нижний Тагил</t>
  </si>
  <si>
    <t xml:space="preserve">65751000</t>
  </si>
  <si>
    <t xml:space="preserve">61</t>
  </si>
  <si>
    <t xml:space="preserve">городской округ Богданович</t>
  </si>
  <si>
    <t xml:space="preserve">65707000</t>
  </si>
  <si>
    <t xml:space="preserve">62</t>
  </si>
  <si>
    <t xml:space="preserve">городской округ Верх-Нейвинский</t>
  </si>
  <si>
    <t xml:space="preserve">65761000</t>
  </si>
  <si>
    <t xml:space="preserve">63</t>
  </si>
  <si>
    <t xml:space="preserve">городской округ Верхнее Дуброво</t>
  </si>
  <si>
    <t xml:space="preserve">65760000</t>
  </si>
  <si>
    <t xml:space="preserve">64</t>
  </si>
  <si>
    <t xml:space="preserve">городской округ Верхний Тагил</t>
  </si>
  <si>
    <t xml:space="preserve">65733000</t>
  </si>
  <si>
    <t xml:space="preserve">65</t>
  </si>
  <si>
    <t xml:space="preserve">городской округ Верхняя Пышма</t>
  </si>
  <si>
    <t xml:space="preserve">65732000</t>
  </si>
  <si>
    <t xml:space="preserve">городской округ Верхняя Тура</t>
  </si>
  <si>
    <t xml:space="preserve">65734000</t>
  </si>
  <si>
    <t xml:space="preserve">67</t>
  </si>
  <si>
    <t xml:space="preserve">городской округ Верхотурский</t>
  </si>
  <si>
    <t xml:space="preserve">65709000</t>
  </si>
  <si>
    <t xml:space="preserve">городской округ Дегтярск</t>
  </si>
  <si>
    <t xml:space="preserve">65736000</t>
  </si>
  <si>
    <t xml:space="preserve">69</t>
  </si>
  <si>
    <t xml:space="preserve">городской округ ЗАТО Свободный</t>
  </si>
  <si>
    <t xml:space="preserve">65765000</t>
  </si>
  <si>
    <t xml:space="preserve">70</t>
  </si>
  <si>
    <t xml:space="preserve">городской округ Заречный</t>
  </si>
  <si>
    <t xml:space="preserve">65737000</t>
  </si>
  <si>
    <t xml:space="preserve">71</t>
  </si>
  <si>
    <t xml:space="preserve">городской округ Карпинск</t>
  </si>
  <si>
    <t xml:space="preserve">65742000</t>
  </si>
  <si>
    <t xml:space="preserve">72</t>
  </si>
  <si>
    <t xml:space="preserve">городской округ Краснотурьинск</t>
  </si>
  <si>
    <t xml:space="preserve">65745000</t>
  </si>
  <si>
    <t xml:space="preserve">73</t>
  </si>
  <si>
    <t xml:space="preserve">городской округ Красноуральск</t>
  </si>
  <si>
    <t xml:space="preserve">65746000</t>
  </si>
  <si>
    <t xml:space="preserve">74</t>
  </si>
  <si>
    <t xml:space="preserve">городской округ Красноуфимск</t>
  </si>
  <si>
    <t xml:space="preserve">65747000</t>
  </si>
  <si>
    <t xml:space="preserve">75</t>
  </si>
  <si>
    <t xml:space="preserve">городской округ Нижняя Салда</t>
  </si>
  <si>
    <t xml:space="preserve">65750000</t>
  </si>
  <si>
    <t xml:space="preserve">76</t>
  </si>
  <si>
    <t xml:space="preserve">городской округ Пелым</t>
  </si>
  <si>
    <t xml:space="preserve">65764000</t>
  </si>
  <si>
    <t xml:space="preserve">77</t>
  </si>
  <si>
    <t xml:space="preserve">городской округ Первоуральск</t>
  </si>
  <si>
    <t xml:space="preserve">65753000</t>
  </si>
  <si>
    <t xml:space="preserve">78</t>
  </si>
  <si>
    <t xml:space="preserve">городской округ Ревда</t>
  </si>
  <si>
    <t xml:space="preserve">65719000</t>
  </si>
  <si>
    <t xml:space="preserve">79</t>
  </si>
  <si>
    <t xml:space="preserve">городской округ Рефтинский</t>
  </si>
  <si>
    <t xml:space="preserve">65763000</t>
  </si>
  <si>
    <t xml:space="preserve">80</t>
  </si>
  <si>
    <t xml:space="preserve">городской округ Среднеуральск</t>
  </si>
  <si>
    <t xml:space="preserve">65757000</t>
  </si>
  <si>
    <t xml:space="preserve">81</t>
  </si>
  <si>
    <t xml:space="preserve">городской округ Староуткинск</t>
  </si>
  <si>
    <t xml:space="preserve">65766000</t>
  </si>
  <si>
    <t xml:space="preserve">82</t>
  </si>
  <si>
    <t xml:space="preserve">городской округ Сухой Лог</t>
  </si>
  <si>
    <t xml:space="preserve">65758000</t>
  </si>
  <si>
    <t xml:space="preserve">83</t>
  </si>
  <si>
    <t xml:space="preserve">муниципальное образование «поселок Уральский»</t>
  </si>
  <si>
    <t xml:space="preserve">65767000</t>
  </si>
  <si>
    <t xml:space="preserve">84</t>
  </si>
  <si>
    <t xml:space="preserve">муниципальное образование Алапаевское</t>
  </si>
  <si>
    <t xml:space="preserve">65771000</t>
  </si>
  <si>
    <t xml:space="preserve">85</t>
  </si>
  <si>
    <t xml:space="preserve">муниципальное образование Камышловский муниципальный район</t>
  </si>
  <si>
    <t xml:space="preserve">65623000</t>
  </si>
  <si>
    <t xml:space="preserve">Муниципальное образование "Восточное сельское поселение"</t>
  </si>
  <si>
    <t xml:space="preserve">65623405</t>
  </si>
  <si>
    <t xml:space="preserve">86</t>
  </si>
  <si>
    <t xml:space="preserve">Муниципальное образование "Галкинское сельское поселение"</t>
  </si>
  <si>
    <t xml:space="preserve">65623415</t>
  </si>
  <si>
    <t xml:space="preserve">87</t>
  </si>
  <si>
    <t xml:space="preserve">Муниципальное образование "Зареченское сельское поселение"</t>
  </si>
  <si>
    <t xml:space="preserve">65623420</t>
  </si>
  <si>
    <t xml:space="preserve">88</t>
  </si>
  <si>
    <t xml:space="preserve">Муниципальное образование "Калиновское сельское поселение"</t>
  </si>
  <si>
    <t xml:space="preserve">65623430</t>
  </si>
  <si>
    <t xml:space="preserve">89</t>
  </si>
  <si>
    <t xml:space="preserve">Муниципальное образование "Обуховское сельское поселение"</t>
  </si>
  <si>
    <t xml:space="preserve">65623455</t>
  </si>
  <si>
    <t xml:space="preserve">90</t>
  </si>
  <si>
    <t xml:space="preserve">91</t>
  </si>
  <si>
    <t xml:space="preserve">муниципальное образование Красноуфимский округ</t>
  </si>
  <si>
    <t xml:space="preserve">65713000</t>
  </si>
  <si>
    <t xml:space="preserve">92</t>
  </si>
  <si>
    <t xml:space="preserve">муниципальное образование город Алапаевск</t>
  </si>
  <si>
    <t xml:space="preserve">65728000</t>
  </si>
  <si>
    <t xml:space="preserve">93</t>
  </si>
  <si>
    <t xml:space="preserve">муниципальное образование город Екатеринбург</t>
  </si>
  <si>
    <t xml:space="preserve">65701000</t>
  </si>
  <si>
    <t xml:space="preserve">94</t>
  </si>
  <si>
    <t xml:space="preserve">муниципальное образование город Ирбит</t>
  </si>
  <si>
    <t xml:space="preserve">65739000</t>
  </si>
  <si>
    <t xml:space="preserve">95</t>
  </si>
  <si>
    <t xml:space="preserve">NUMBER_POINT</t>
  </si>
  <si>
    <t xml:space="preserve">INVP_NAME</t>
  </si>
  <si>
    <t xml:space="preserve">INVP_ID</t>
  </si>
  <si>
    <t xml:space="preserve">L_START_DATE</t>
  </si>
  <si>
    <t xml:space="preserve">L_END_DATE</t>
  </si>
  <si>
    <t xml:space="preserve">L_DECISION_NAME</t>
  </si>
  <si>
    <t xml:space="preserve">L_DECISION_TYPE</t>
  </si>
  <si>
    <t xml:space="preserve">L_DECISION_NMBR</t>
  </si>
  <si>
    <t xml:space="preserve">L_DECISION_DATE</t>
  </si>
  <si>
    <t xml:space="preserve">TER_NAME</t>
  </si>
  <si>
    <t xml:space="preserve">ID_TARIFF_NAME</t>
  </si>
  <si>
    <t xml:space="preserve">TARIFF_NAME</t>
  </si>
  <si>
    <t xml:space="preserve">VED_NAME</t>
  </si>
  <si>
    <t xml:space="preserve">4189714</t>
  </si>
  <si>
    <t xml:space="preserve">4189713</t>
  </si>
  <si>
    <t xml:space="preserve">4189712</t>
  </si>
  <si>
    <t xml:space="preserve">ID</t>
  </si>
  <si>
    <t xml:space="preserve">LINK_NAME</t>
  </si>
  <si>
    <t xml:space="preserve">https://portal.eias.ru/Portal/DownloadPage.aspx?type=12&amp;guid=????????-????-????-????-????????????</t>
  </si>
  <si>
    <t xml:space="preserve">ALL</t>
  </si>
  <si>
    <t xml:space="preserve">https://eias.fstrf.ru/disclo/get_file?p_guid=????????-????-????-????-????????????</t>
  </si>
  <si>
    <t xml:space="preserve">Форма</t>
  </si>
  <si>
    <t xml:space="preserve">Листы</t>
  </si>
  <si>
    <t xml:space="preserve">optOrganization</t>
  </si>
  <si>
    <t xml:space="preserve">optROiV</t>
  </si>
  <si>
    <t xml:space="preserve">optHEAT</t>
  </si>
  <si>
    <t xml:space="preserve">optCOLDVSNA</t>
  </si>
  <si>
    <t xml:space="preserve">optVOTV</t>
  </si>
  <si>
    <t xml:space="preserve">optHOTVSNA</t>
  </si>
  <si>
    <t xml:space="preserve">optTKO</t>
  </si>
  <si>
    <t xml:space="preserve">optORG</t>
  </si>
  <si>
    <t xml:space="preserve">optPRICE</t>
  </si>
  <si>
    <t xml:space="preserve">optBALANCE</t>
  </si>
  <si>
    <t xml:space="preserve">optQUARTER</t>
  </si>
  <si>
    <t xml:space="preserve">optINVEST</t>
  </si>
  <si>
    <t xml:space="preserve">optTERMS</t>
  </si>
  <si>
    <t xml:space="preserve">optREQUEST</t>
  </si>
  <si>
    <t xml:space="preserve">modSave</t>
  </si>
  <si>
    <t xml:space="preserve">Расчетные листы</t>
  </si>
  <si>
    <t xml:space="preserve">Скрытые листы</t>
  </si>
  <si>
    <t xml:space="preserve">Instruction</t>
  </si>
  <si>
    <t xml:space="preserve">DATA_FORMS</t>
  </si>
  <si>
    <t xml:space="preserve">modUpdTemplLogger</t>
  </si>
  <si>
    <t xml:space="preserve">DATA_NPA</t>
  </si>
  <si>
    <t xml:space="preserve">TITLE</t>
  </si>
  <si>
    <t xml:space="preserve">TEHSHEET</t>
  </si>
  <si>
    <t xml:space="preserve">TERRITORY</t>
  </si>
  <si>
    <t xml:space="preserve">TSH_et_union_hor</t>
  </si>
  <si>
    <t xml:space="preserve">DIFFERENTIATION</t>
  </si>
  <si>
    <t xml:space="preserve">modP_T_TERMS</t>
  </si>
  <si>
    <t xml:space="preserve">DIFFERENTIATION_TARIFF</t>
  </si>
  <si>
    <t xml:space="preserve">modMainProcedures</t>
  </si>
  <si>
    <t xml:space="preserve">DIFFERENTIATION_TKO</t>
  </si>
  <si>
    <t xml:space="preserve">modB_FHD</t>
  </si>
  <si>
    <t xml:space="preserve">ORG_INFO</t>
  </si>
  <si>
    <t xml:space="preserve">modB_FHD20</t>
  </si>
  <si>
    <t xml:space="preserve">ORG_VD</t>
  </si>
  <si>
    <t xml:space="preserve">modB_KNE</t>
  </si>
  <si>
    <t xml:space="preserve">ORG_VD_TKO</t>
  </si>
  <si>
    <t xml:space="preserve">modIP_MAIN</t>
  </si>
  <si>
    <t xml:space="preserve">ORG_TERRITORY</t>
  </si>
  <si>
    <t xml:space="preserve">modIP_QRE</t>
  </si>
  <si>
    <t xml:space="preserve">P_T_TERMS</t>
  </si>
  <si>
    <t xml:space="preserve">modIP_DETAILED</t>
  </si>
  <si>
    <t xml:space="preserve">TARIFF_A</t>
  </si>
  <si>
    <t xml:space="preserve">TSH_et_union_vert</t>
  </si>
  <si>
    <t xml:space="preserve">TARIFF_B</t>
  </si>
  <si>
    <t xml:space="preserve">modROIV</t>
  </si>
  <si>
    <t xml:space="preserve">TARIFF_F</t>
  </si>
  <si>
    <t xml:space="preserve">modDIFFERENTIATION_TKO</t>
  </si>
  <si>
    <t xml:space="preserve">TARIFF_C</t>
  </si>
  <si>
    <t xml:space="preserve">modTARIFF_HEAT</t>
  </si>
  <si>
    <t xml:space="preserve">TARIFF_E1</t>
  </si>
  <si>
    <t xml:space="preserve">modTARIFF_COLDVSNA</t>
  </si>
  <si>
    <t xml:space="preserve">TARIFF_E2</t>
  </si>
  <si>
    <t xml:space="preserve">modIP_FIN_PLAN</t>
  </si>
  <si>
    <t xml:space="preserve">TARIFF_D</t>
  </si>
  <si>
    <t xml:space="preserve">REESTR_IP</t>
  </si>
  <si>
    <t xml:space="preserve">TARIFF_G</t>
  </si>
  <si>
    <t xml:space="preserve">modfrmListIP</t>
  </si>
  <si>
    <t xml:space="preserve">Лист5</t>
  </si>
  <si>
    <t xml:space="preserve">modfrmActivity</t>
  </si>
  <si>
    <t xml:space="preserve">Лист6</t>
  </si>
  <si>
    <t xml:space="preserve">REESTR_DS</t>
  </si>
  <si>
    <t xml:space="preserve">Лист7</t>
  </si>
  <si>
    <t xml:space="preserve">REESTR_VED</t>
  </si>
  <si>
    <t xml:space="preserve">Лист14</t>
  </si>
  <si>
    <t xml:space="preserve">TSH_REESTR_MO</t>
  </si>
  <si>
    <t xml:space="preserve">P_PROCEDURE_TC</t>
  </si>
  <si>
    <t xml:space="preserve">TSH_REESTR_MO_FILTER</t>
  </si>
  <si>
    <t xml:space="preserve">R_B_Purch</t>
  </si>
  <si>
    <t xml:space="preserve">REESTR_LINK</t>
  </si>
  <si>
    <t xml:space="preserve">Q_PH</t>
  </si>
  <si>
    <t xml:space="preserve">modDIFFERENTIATION_TARIFF</t>
  </si>
  <si>
    <t xml:space="preserve">Q_TP</t>
  </si>
  <si>
    <t xml:space="preserve">modDIFFERENTIATION</t>
  </si>
  <si>
    <t xml:space="preserve">Q_LIMIT</t>
  </si>
  <si>
    <t xml:space="preserve">modTERRITORY</t>
  </si>
  <si>
    <t xml:space="preserve">R_Offer</t>
  </si>
  <si>
    <t xml:space="preserve">modQ_PH</t>
  </si>
  <si>
    <t xml:space="preserve">TARIFF_A_COLDVSNA</t>
  </si>
  <si>
    <t xml:space="preserve">modORG_INFO</t>
  </si>
  <si>
    <t xml:space="preserve">TARIFF_B_COLDVSNA</t>
  </si>
  <si>
    <t xml:space="preserve">modORG_VD</t>
  </si>
  <si>
    <t xml:space="preserve">TARIFF_C_COLDVSNA</t>
  </si>
  <si>
    <t xml:space="preserve">modORG_TERRITORY</t>
  </si>
  <si>
    <t xml:space="preserve">TARIFF_D_COLDVSNA</t>
  </si>
  <si>
    <t xml:space="preserve">modfrmSelectTerritory</t>
  </si>
  <si>
    <t xml:space="preserve">TARIFF_E_COLDVSNA</t>
  </si>
  <si>
    <t xml:space="preserve">modQ_TP</t>
  </si>
  <si>
    <t xml:space="preserve">B_FHD</t>
  </si>
  <si>
    <t xml:space="preserve">modQ_LIMIT</t>
  </si>
  <si>
    <t xml:space="preserve">B_FHD20</t>
  </si>
  <si>
    <t xml:space="preserve">modListTempFilter</t>
  </si>
  <si>
    <t xml:space="preserve">B_FHD_TKO</t>
  </si>
  <si>
    <t xml:space="preserve">modCheckCyan</t>
  </si>
  <si>
    <t xml:space="preserve">B_FHD_TKO_TRANS</t>
  </si>
  <si>
    <t xml:space="preserve">modHTTP</t>
  </si>
  <si>
    <t xml:space="preserve">B_KNE</t>
  </si>
  <si>
    <t xml:space="preserve">modfrmRezimChoose</t>
  </si>
  <si>
    <t xml:space="preserve">IP_MAIN</t>
  </si>
  <si>
    <t xml:space="preserve">modSheetMain</t>
  </si>
  <si>
    <t xml:space="preserve">IP_DETAILED</t>
  </si>
  <si>
    <t xml:space="preserve">REESTR_VT</t>
  </si>
  <si>
    <t xml:space="preserve">IP_FIN_PLAN</t>
  </si>
  <si>
    <t xml:space="preserve">modfrmReportMode</t>
  </si>
  <si>
    <t xml:space="preserve">IP_QRE</t>
  </si>
  <si>
    <t xml:space="preserve">modfrmReestrObj</t>
  </si>
  <si>
    <t xml:space="preserve">TARIFF_A_HOTVSNA</t>
  </si>
  <si>
    <t xml:space="preserve">AllSheetsInThisWorkbook</t>
  </si>
  <si>
    <t xml:space="preserve">TARIFF_B_HOTVSNA</t>
  </si>
  <si>
    <t xml:space="preserve">modInstruction</t>
  </si>
  <si>
    <t xml:space="preserve">TARIFF_C_HOTVSNA</t>
  </si>
  <si>
    <t xml:space="preserve">modRegion</t>
  </si>
  <si>
    <t xml:space="preserve">TARIFF_A_VOTV</t>
  </si>
  <si>
    <t xml:space="preserve">modReestr</t>
  </si>
  <si>
    <t xml:space="preserve">TARIFF_B_VOTV</t>
  </si>
  <si>
    <t xml:space="preserve">modfrmReestr</t>
  </si>
  <si>
    <t xml:space="preserve">TARIFF_C_VOTV</t>
  </si>
  <si>
    <t xml:space="preserve">modUpdTemplMain</t>
  </si>
  <si>
    <t xml:space="preserve">ED</t>
  </si>
  <si>
    <t xml:space="preserve">TSH_REESTR_ORG</t>
  </si>
  <si>
    <t xml:space="preserve">CHANGE_INFO</t>
  </si>
  <si>
    <t xml:space="preserve">modClassifierValidate</t>
  </si>
  <si>
    <t xml:space="preserve">ListComm</t>
  </si>
  <si>
    <t xml:space="preserve">modCHECK</t>
  </si>
  <si>
    <t xml:space="preserve">CHECK</t>
  </si>
  <si>
    <t xml:space="preserve">modHyp</t>
  </si>
  <si>
    <t xml:space="preserve">ROIV_INFO</t>
  </si>
  <si>
    <t xml:space="preserve">modServiceModule</t>
  </si>
  <si>
    <t xml:space="preserve">ROIV_ORG</t>
  </si>
  <si>
    <t xml:space="preserve">modInfo</t>
  </si>
  <si>
    <t xml:space="preserve">ROIV_CASE</t>
  </si>
  <si>
    <t xml:space="preserve">modTITLE</t>
  </si>
  <si>
    <t xml:space="preserve">ROIV_OTV</t>
  </si>
  <si>
    <t xml:space="preserve">modList02</t>
  </si>
  <si>
    <t xml:space="preserve">Лист1</t>
  </si>
  <si>
    <t xml:space="preserve">modED</t>
  </si>
  <si>
    <t xml:space="preserve">modList05</t>
  </si>
  <si>
    <t xml:space="preserve">modList06</t>
  </si>
  <si>
    <t xml:space="preserve">modCHANGE_INFO</t>
  </si>
  <si>
    <t xml:space="preserve">modList11</t>
  </si>
  <si>
    <t xml:space="preserve">modList12</t>
  </si>
  <si>
    <t xml:space="preserve">modfrmDateChoose</t>
  </si>
  <si>
    <t xml:space="preserve">modComm</t>
  </si>
  <si>
    <t xml:space="preserve">modThisWorkbook</t>
  </si>
  <si>
    <t xml:space="preserve">modfrmReestrMR</t>
  </si>
  <si>
    <t xml:space="preserve">modfrmCheckUpdates</t>
  </si>
  <si>
    <t xml:space="preserve">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</si>
  <si>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</si>
  <si>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</si>
  <si>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</si>
  <si>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</si>
  <si>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</si>
  <si>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</si>
  <si>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</si>
  <si>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</si>
  <si>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</si>
  <si>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</si>
  <si>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</si>
  <si>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</si>
  <si>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</si>
  <si>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</si>
  <si>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</si>
  <si>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</si>
  <si>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</si>
  <si>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</si>
  <si>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</si>
  <si>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 xml:space="preserve">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</si>
  <si>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</si>
  <si>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</si>
  <si>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</si>
  <si>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</si>
  <si>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</si>
  <si>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</si>
  <si>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 xml:space="preserve">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</si>
  <si>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</si>
  <si>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</si>
  <si>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 xml:space="preserve">Инструкция</t>
  </si>
  <si>
    <t xml:space="preserve">Нет доступных обновлений, версия отчёта актуальна</t>
  </si>
</sst>
</file>

<file path=xl/styles.xml><?xml version="1.0" encoding="utf-8"?>
<styleSheet xmlns="http://schemas.openxmlformats.org/spreadsheetml/2006/main">
  <numFmts count="16">
    <numFmt numFmtId="164" formatCode="@"/>
    <numFmt numFmtId="165" formatCode="General"/>
    <numFmt numFmtId="166" formatCode="_-* #,##0.00[$€-1]_-;\-* #,##0.00[$€-1]_-;_-* \-??[$€-1]_-"/>
    <numFmt numFmtId="167" formatCode="#,##0_р_.;[RED]\-#,##0_р_."/>
    <numFmt numFmtId="168" formatCode="#,##0.0"/>
    <numFmt numFmtId="169" formatCode="#,##0.000"/>
    <numFmt numFmtId="170" formatCode="#,##0.0000"/>
    <numFmt numFmtId="171" formatCode="General"/>
    <numFmt numFmtId="172" formatCode="dd/mm/yyyy"/>
    <numFmt numFmtId="173" formatCode="dd\.mm\.yyyy"/>
    <numFmt numFmtId="174" formatCode="#,##0.00"/>
    <numFmt numFmtId="175" formatCode="000000"/>
    <numFmt numFmtId="176" formatCode="#,##0"/>
    <numFmt numFmtId="177" formatCode="0%"/>
    <numFmt numFmtId="178" formatCode="0.00"/>
    <numFmt numFmtId="179" formatCode="h:mm;@"/>
  </numFmts>
  <fonts count="116">
    <font>
      <sz val="9"/>
      <color rgb="FF000000"/>
      <name val="Tahoma"/>
      <family val="0"/>
      <charset val="1"/>
    </font>
    <font>
      <sz val="10"/>
      <name val="Arial"/>
      <family val="0"/>
    </font>
    <font>
      <sz val="10"/>
      <name val="Arial"/>
      <family val="0"/>
    </font>
    <font>
      <sz val="10"/>
      <name val="Arial"/>
      <family val="0"/>
    </font>
    <font>
      <sz val="10"/>
      <name val="Arial"/>
      <family val="0"/>
      <charset val="1"/>
    </font>
    <font>
      <sz val="8"/>
      <name val="Arial"/>
      <family val="0"/>
      <charset val="1"/>
    </font>
    <font>
      <sz val="9"/>
      <name val="Tahoma"/>
      <family val="0"/>
      <charset val="1"/>
    </font>
    <font>
      <sz val="8"/>
      <name val="Palatino"/>
      <family val="0"/>
      <charset val="1"/>
    </font>
    <font>
      <u val="single"/>
      <sz val="10"/>
      <color rgb="FF800080"/>
      <name val="Arial Cyr"/>
      <family val="0"/>
      <charset val="1"/>
    </font>
    <font>
      <sz val="12"/>
      <name val="Arial"/>
      <family val="0"/>
      <charset val="1"/>
    </font>
    <font>
      <sz val="10"/>
      <name val="Arial Cyr"/>
      <family val="0"/>
      <charset val="1"/>
    </font>
    <font>
      <u val="single"/>
      <sz val="9"/>
      <color theme="11"/>
      <name val="Tahoma"/>
      <family val="0"/>
      <charset val="1"/>
    </font>
    <font>
      <b val="true"/>
      <u val="single"/>
      <sz val="11"/>
      <color rgb="FF0000FF"/>
      <name val="Tahoma"/>
      <family val="0"/>
      <charset val="1"/>
    </font>
    <font>
      <sz val="11"/>
      <color rgb="FF000000"/>
      <name val="Tahoma"/>
      <family val="0"/>
      <charset val="1"/>
    </font>
    <font>
      <sz val="11"/>
      <color rgb="FFFFFFFF"/>
      <name val="Tahoma"/>
      <family val="0"/>
      <charset val="1"/>
    </font>
    <font>
      <b val="true"/>
      <sz val="10"/>
      <name val="Tahoma"/>
      <family val="0"/>
      <charset val="1"/>
    </font>
    <font>
      <u val="single"/>
      <sz val="20"/>
      <color rgb="FF003366"/>
      <name val="Tahoma"/>
      <family val="0"/>
      <charset val="1"/>
    </font>
    <font>
      <sz val="10"/>
      <name val="Tahoma"/>
      <family val="0"/>
      <charset val="1"/>
    </font>
    <font>
      <b val="true"/>
      <sz val="10"/>
      <color rgb="FF000000"/>
      <name val="Tahoma"/>
      <family val="0"/>
      <charset val="1"/>
    </font>
    <font>
      <sz val="11"/>
      <color rgb="FF000000"/>
      <name val="Marlett"/>
      <family val="0"/>
      <charset val="1"/>
    </font>
    <font>
      <sz val="10"/>
      <color rgb="FF000000"/>
      <name val="Tahoma"/>
      <family val="0"/>
      <charset val="1"/>
    </font>
    <font>
      <sz val="7"/>
      <name val="Tahoma"/>
      <family val="0"/>
      <charset val="1"/>
    </font>
    <font>
      <sz val="9"/>
      <color rgb="FFFFFFFF"/>
      <name val="Tahoma"/>
      <family val="0"/>
      <charset val="1"/>
    </font>
    <font>
      <sz val="9"/>
      <color rgb="FFCC0000"/>
      <name val="Tahoma"/>
      <family val="0"/>
      <charset val="1"/>
    </font>
    <font>
      <sz val="9"/>
      <color theme="0"/>
      <name val="Tahoma"/>
      <family val="0"/>
      <charset val="1"/>
    </font>
    <font>
      <sz val="1"/>
      <color rgb="FFFFFFFF"/>
      <name val="Tahoma"/>
      <family val="0"/>
      <charset val="1"/>
    </font>
    <font>
      <sz val="1"/>
      <color theme="0"/>
      <name val="Tahoma"/>
      <family val="0"/>
      <charset val="1"/>
    </font>
    <font>
      <sz val="3"/>
      <color rgb="FFFFFFFF"/>
      <name val="Tahoma"/>
      <family val="0"/>
      <charset val="1"/>
    </font>
    <font>
      <sz val="3"/>
      <color rgb="FFCC0000"/>
      <name val="Tahoma"/>
      <family val="0"/>
      <charset val="1"/>
    </font>
    <font>
      <sz val="3"/>
      <name val="Tahoma"/>
      <family val="0"/>
      <charset val="1"/>
    </font>
    <font>
      <sz val="3"/>
      <color theme="0"/>
      <name val="Tahoma"/>
      <family val="0"/>
      <charset val="1"/>
    </font>
    <font>
      <sz val="16"/>
      <name val="Tahoma"/>
      <family val="0"/>
      <charset val="1"/>
    </font>
    <font>
      <b val="true"/>
      <sz val="9"/>
      <name val="Tahoma"/>
      <family val="0"/>
      <charset val="1"/>
    </font>
    <font>
      <b val="true"/>
      <sz val="9"/>
      <color theme="0"/>
      <name val="Tahoma"/>
      <family val="0"/>
      <charset val="1"/>
    </font>
    <font>
      <sz val="3"/>
      <color rgb="FF993300"/>
      <name val="Tahoma"/>
      <family val="0"/>
      <charset val="1"/>
    </font>
    <font>
      <sz val="7"/>
      <color theme="0" tint="-0.5"/>
      <name val="Tahoma"/>
      <family val="0"/>
      <charset val="1"/>
    </font>
    <font>
      <sz val="9"/>
      <name val="Tahoma"/>
      <family val="0"/>
      <charset val="1"/>
    </font>
    <font>
      <u val="single"/>
      <sz val="9"/>
      <color rgb="FF333399"/>
      <name val="Tahoma"/>
      <family val="0"/>
      <charset val="1"/>
    </font>
    <font>
      <sz val="16"/>
      <color rgb="FFFFFFFF"/>
      <name val="Tahoma"/>
      <family val="0"/>
      <charset val="1"/>
    </font>
    <font>
      <sz val="3"/>
      <color rgb="FF000000"/>
      <name val="Tahoma"/>
      <family val="0"/>
      <charset val="1"/>
    </font>
    <font>
      <u val="single"/>
      <sz val="9"/>
      <color rgb="FF000080"/>
      <name val="Tahoma"/>
      <family val="0"/>
      <charset val="1"/>
    </font>
    <font>
      <b val="true"/>
      <sz val="9"/>
      <name val="Tahoma"/>
      <family val="2"/>
      <charset val="204"/>
    </font>
    <font>
      <sz val="9"/>
      <name val="Tahoma"/>
      <family val="2"/>
      <charset val="204"/>
    </font>
    <font>
      <sz val="7"/>
      <color rgb="FFFFFFFF"/>
      <name val="Tahoma"/>
      <family val="0"/>
      <charset val="1"/>
    </font>
    <font>
      <sz val="12"/>
      <name val="Tahoma"/>
      <family val="0"/>
      <charset val="1"/>
    </font>
    <font>
      <sz val="10"/>
      <name val="Open Sans"/>
      <family val="2"/>
    </font>
    <font>
      <sz val="11"/>
      <color rgb="FFBCBCBC"/>
      <name val="Wingdings 2"/>
      <family val="0"/>
      <charset val="1"/>
    </font>
    <font>
      <sz val="5"/>
      <color rgb="FFFF0000"/>
      <name val="Tahoma"/>
      <family val="0"/>
      <charset val="1"/>
    </font>
    <font>
      <sz val="1"/>
      <name val="Tahoma"/>
      <family val="0"/>
      <charset val="1"/>
    </font>
    <font>
      <sz val="11"/>
      <color theme="0"/>
      <name val="Wingdings 2"/>
      <family val="0"/>
      <charset val="1"/>
    </font>
    <font>
      <sz val="5"/>
      <color theme="0"/>
      <name val="Tahoma"/>
      <family val="0"/>
      <charset val="1"/>
    </font>
    <font>
      <sz val="11"/>
      <name val="Wingdings 2"/>
      <family val="0"/>
      <charset val="1"/>
    </font>
    <font>
      <sz val="9"/>
      <color rgb="FFBCBCBC"/>
      <name val="Tahoma"/>
      <family val="0"/>
      <charset val="1"/>
    </font>
    <font>
      <sz val="9"/>
      <color rgb="FFFF0000"/>
      <name val="Tahoma"/>
      <family val="0"/>
      <charset val="1"/>
    </font>
    <font>
      <sz val="12"/>
      <color theme="0"/>
      <name val="Tahoma"/>
      <family val="0"/>
      <charset val="1"/>
    </font>
    <font>
      <sz val="9"/>
      <color rgb="FF000080"/>
      <name val="Tahoma"/>
      <family val="0"/>
      <charset val="1"/>
    </font>
    <font>
      <sz val="8"/>
      <name val="Tahoma"/>
      <family val="0"/>
      <charset val="1"/>
    </font>
    <font>
      <sz val="8"/>
      <color theme="0"/>
      <name val="Tahoma"/>
      <family val="0"/>
      <charset val="1"/>
    </font>
    <font>
      <sz val="8"/>
      <color rgb="FFBCBCBC"/>
      <name val="Tahoma"/>
      <family val="0"/>
      <charset val="1"/>
    </font>
    <font>
      <b val="true"/>
      <sz val="11"/>
      <color theme="0"/>
      <name val="Calibri"/>
      <family val="0"/>
      <charset val="1"/>
    </font>
    <font>
      <b val="true"/>
      <sz val="1"/>
      <color theme="0"/>
      <name val="Calibri"/>
      <family val="0"/>
      <charset val="1"/>
    </font>
    <font>
      <b val="true"/>
      <sz val="9"/>
      <name val="Calibri"/>
      <family val="0"/>
      <charset val="1"/>
    </font>
    <font>
      <b val="true"/>
      <sz val="11"/>
      <color rgb="FF000000"/>
      <name val="Calibri"/>
      <family val="0"/>
      <charset val="1"/>
    </font>
    <font>
      <sz val="11"/>
      <color rgb="FF000000"/>
      <name val="Calibri"/>
      <family val="0"/>
      <charset val="1"/>
    </font>
    <font>
      <sz val="9"/>
      <color theme="1"/>
      <name val="Tahoma"/>
      <family val="0"/>
      <charset val="1"/>
    </font>
    <font>
      <sz val="9"/>
      <color rgb="FFBCBCBC"/>
      <name val="Wingdings 2"/>
      <family val="0"/>
      <charset val="1"/>
    </font>
    <font>
      <sz val="12"/>
      <name val="Marlett"/>
      <family val="0"/>
      <charset val="1"/>
    </font>
    <font>
      <sz val="18"/>
      <name val="Tahoma"/>
      <family val="0"/>
      <charset val="1"/>
    </font>
    <font>
      <sz val="1"/>
      <color rgb="FF000000"/>
      <name val="Tahoma"/>
      <family val="0"/>
      <charset val="1"/>
    </font>
    <font>
      <sz val="9"/>
      <name val="Wingdings 2"/>
      <family val="0"/>
      <charset val="1"/>
    </font>
    <font>
      <sz val="9"/>
      <color rgb="FFFFFFFF"/>
      <name val="Wingdings 2"/>
      <family val="0"/>
      <charset val="1"/>
    </font>
    <font>
      <b val="true"/>
      <sz val="9"/>
      <color rgb="FF0070C0"/>
      <name val="Tahoma"/>
      <family val="0"/>
      <charset val="1"/>
    </font>
    <font>
      <b val="true"/>
      <sz val="3"/>
      <name val="Tahoma"/>
      <family val="0"/>
      <charset val="1"/>
    </font>
    <font>
      <b val="true"/>
      <sz val="9"/>
      <color rgb="FF000080"/>
      <name val="Tahoma"/>
      <family val="0"/>
      <charset val="1"/>
    </font>
    <font>
      <sz val="18"/>
      <color rgb="FF000000"/>
      <name val="Tahoma"/>
      <family val="0"/>
      <charset val="1"/>
    </font>
    <font>
      <sz val="12"/>
      <color rgb="FF000000"/>
      <name val="Tahoma"/>
      <family val="0"/>
      <charset val="1"/>
    </font>
    <font>
      <sz val="9"/>
      <color rgb="FF0066CC"/>
      <name val="Tahoma"/>
      <family val="0"/>
      <charset val="1"/>
    </font>
    <font>
      <b val="true"/>
      <sz val="10"/>
      <color theme="1"/>
      <name val="Tahoma"/>
      <family val="0"/>
      <charset val="1"/>
    </font>
    <font>
      <sz val="10"/>
      <color theme="1"/>
      <name val="Tahoma"/>
      <family val="0"/>
      <charset val="1"/>
    </font>
    <font>
      <sz val="3"/>
      <color rgb="FFBCBCBC"/>
      <name val="Tahoma"/>
      <family val="0"/>
      <charset val="1"/>
    </font>
    <font>
      <sz val="1"/>
      <color rgb="FFBCBCBC"/>
      <name val="Tahoma"/>
      <family val="0"/>
      <charset val="1"/>
    </font>
    <font>
      <sz val="11"/>
      <name val="Webdings2"/>
      <family val="0"/>
      <charset val="1"/>
    </font>
    <font>
      <sz val="8"/>
      <name val="Tahoma"/>
      <family val="0"/>
      <charset val="1"/>
    </font>
    <font>
      <sz val="1"/>
      <color theme="0"/>
      <name val="Webdings2"/>
      <family val="0"/>
      <charset val="1"/>
    </font>
    <font>
      <b val="true"/>
      <sz val="1"/>
      <color theme="0"/>
      <name val="Tahoma"/>
      <family val="0"/>
      <charset val="1"/>
    </font>
    <font>
      <sz val="11"/>
      <color theme="0"/>
      <name val="Webdings2"/>
      <family val="0"/>
      <charset val="1"/>
    </font>
    <font>
      <sz val="15"/>
      <color rgb="FF000000"/>
      <name val="Tahoma"/>
      <family val="0"/>
      <charset val="1"/>
    </font>
    <font>
      <sz val="1"/>
      <name val="Webdings2"/>
      <family val="0"/>
      <charset val="1"/>
    </font>
    <font>
      <sz val="1"/>
      <color theme="0"/>
      <name val="Wingdings 2"/>
      <family val="0"/>
      <charset val="1"/>
    </font>
    <font>
      <sz val="9"/>
      <color theme="0"/>
      <name val="Webdings2"/>
      <family val="0"/>
      <charset val="1"/>
    </font>
    <font>
      <sz val="15"/>
      <color theme="0"/>
      <name val="Tahoma"/>
      <family val="0"/>
      <charset val="1"/>
    </font>
    <font>
      <sz val="1"/>
      <color rgb="FFFF0000"/>
      <name val="Tahoma"/>
      <family val="0"/>
      <charset val="1"/>
    </font>
    <font>
      <b val="true"/>
      <sz val="1"/>
      <name val="Tahoma"/>
      <family val="0"/>
      <charset val="1"/>
    </font>
    <font>
      <b val="true"/>
      <sz val="1"/>
      <color rgb="FF000080"/>
      <name val="Tahoma"/>
      <family val="0"/>
      <charset val="1"/>
    </font>
    <font>
      <sz val="15"/>
      <name val="Tahoma"/>
      <family val="0"/>
      <charset val="1"/>
    </font>
    <font>
      <sz val="11"/>
      <color theme="0"/>
      <name val="Tahoma"/>
      <family val="0"/>
      <charset val="1"/>
    </font>
    <font>
      <b val="true"/>
      <sz val="9"/>
      <color rgb="FFCC0000"/>
      <name val="Tahoma"/>
      <family val="0"/>
      <charset val="1"/>
    </font>
    <font>
      <sz val="14"/>
      <color rgb="FFBCBCBC"/>
      <name val="Calibri"/>
      <family val="0"/>
      <charset val="1"/>
    </font>
    <font>
      <b val="true"/>
      <u val="single"/>
      <sz val="9"/>
      <color rgb="FF000080"/>
      <name val="Tahoma"/>
      <family val="0"/>
      <charset val="1"/>
    </font>
    <font>
      <sz val="19"/>
      <color theme="0"/>
      <name val="Tahoma"/>
      <family val="0"/>
      <charset val="1"/>
    </font>
    <font>
      <vertAlign val="superscript"/>
      <sz val="9"/>
      <name val="Tahoma"/>
      <family val="2"/>
      <charset val="204"/>
    </font>
    <font>
      <sz val="8"/>
      <color rgb="FFFFFFFF"/>
      <name val="Tahoma"/>
      <family val="0"/>
      <charset val="1"/>
    </font>
    <font>
      <u val="single"/>
      <sz val="1"/>
      <color rgb="FF333399"/>
      <name val="Tahoma"/>
      <family val="0"/>
      <charset val="1"/>
    </font>
    <font>
      <sz val="10"/>
      <color rgb="FF000000"/>
      <name val="Arial"/>
      <family val="0"/>
      <charset val="1"/>
    </font>
    <font>
      <sz val="18"/>
      <color theme="0"/>
      <name val="Tahoma"/>
      <family val="0"/>
      <charset val="1"/>
    </font>
    <font>
      <b val="true"/>
      <sz val="9"/>
      <color rgb="FFFFFFFF"/>
      <name val="Tahoma"/>
      <family val="0"/>
      <charset val="1"/>
    </font>
    <font>
      <sz val="9"/>
      <color rgb="FF333399"/>
      <name val="Tahoma"/>
      <family val="0"/>
      <charset val="1"/>
    </font>
    <font>
      <b val="true"/>
      <sz val="9"/>
      <color rgb="FF000000"/>
      <name val="Tahoma"/>
      <family val="0"/>
      <charset val="1"/>
    </font>
    <font>
      <b val="true"/>
      <sz val="8"/>
      <color theme="0"/>
      <name val="Wingdings 2"/>
      <family val="0"/>
      <charset val="1"/>
    </font>
    <font>
      <b val="true"/>
      <sz val="8"/>
      <color rgb="FFC0C0C0"/>
      <name val="Wingdings 2"/>
      <family val="0"/>
      <charset val="1"/>
    </font>
    <font>
      <sz val="8"/>
      <color rgb="FF000080"/>
      <name val="Tahoma"/>
      <family val="0"/>
      <charset val="1"/>
    </font>
    <font>
      <sz val="7"/>
      <color rgb="FF000000"/>
      <name val="Tahoma"/>
      <family val="0"/>
      <charset val="1"/>
    </font>
    <font>
      <sz val="7"/>
      <name val="Tahoma"/>
      <family val="0"/>
      <charset val="1"/>
    </font>
    <font>
      <sz val="1"/>
      <color rgb="FF000080"/>
      <name val="Tahoma"/>
      <family val="0"/>
      <charset val="1"/>
    </font>
    <font>
      <sz val="11"/>
      <color theme="1"/>
      <name val="Calibri"/>
      <family val="0"/>
      <charset val="1"/>
    </font>
    <font>
      <b val="true"/>
      <u val="single"/>
      <sz val="9"/>
      <name val="Tahoma"/>
      <family val="0"/>
      <charset val="1"/>
    </font>
  </fonts>
  <fills count="30">
    <fill>
      <patternFill patternType="none"/>
    </fill>
    <fill>
      <patternFill patternType="gray125"/>
    </fill>
    <fill>
      <patternFill patternType="solid">
        <fgColor rgb="FFFFFF99"/>
        <bgColor rgb="FFFFFFC0"/>
      </patternFill>
    </fill>
    <fill>
      <patternFill patternType="solid">
        <fgColor rgb="FFBCBCBC"/>
        <bgColor rgb="FFBFBFBF"/>
      </patternFill>
    </fill>
    <fill>
      <patternFill patternType="solid">
        <fgColor theme="0" tint="-0.15"/>
        <bgColor rgb="FFD3DBDB"/>
      </patternFill>
    </fill>
    <fill>
      <patternFill patternType="solid">
        <fgColor rgb="FFFFFFC0"/>
        <bgColor rgb="FFFFFF99"/>
      </patternFill>
    </fill>
    <fill>
      <patternFill patternType="solid">
        <fgColor rgb="FFD3DBDB"/>
        <bgColor rgb="FFD9D9D9"/>
      </patternFill>
    </fill>
    <fill>
      <patternFill patternType="solid">
        <fgColor rgb="FFD7EAD3"/>
        <bgColor rgb="FFD3DBDB"/>
      </patternFill>
    </fill>
    <fill>
      <patternFill patternType="solid">
        <fgColor rgb="FFE3FAFD"/>
        <bgColor rgb="FFEDF9FF"/>
      </patternFill>
    </fill>
    <fill>
      <patternFill patternType="solid">
        <fgColor rgb="FFFFFFFF"/>
        <bgColor rgb="FFEDF9FF"/>
      </patternFill>
    </fill>
    <fill>
      <patternFill patternType="solid">
        <fgColor rgb="FFB7E4FF"/>
        <bgColor rgb="FFD3DBDB"/>
      </patternFill>
    </fill>
    <fill>
      <patternFill patternType="solid">
        <fgColor rgb="FFF0F0F0"/>
        <bgColor rgb="FFEAEBEE"/>
      </patternFill>
    </fill>
    <fill>
      <patternFill patternType="solid">
        <fgColor rgb="FF00CCFF"/>
        <bgColor rgb="FF0070C0"/>
      </patternFill>
    </fill>
    <fill>
      <patternFill patternType="solid">
        <fgColor rgb="FFCCCCFF"/>
        <bgColor rgb="FFD3DBDB"/>
      </patternFill>
    </fill>
    <fill>
      <patternFill patternType="solid">
        <fgColor theme="9" tint="0.8"/>
        <bgColor rgb="FFF0F0F0"/>
      </patternFill>
    </fill>
    <fill>
      <patternFill patternType="solid">
        <fgColor rgb="FFEAEBEE"/>
        <bgColor rgb="FFF0F0F0"/>
      </patternFill>
    </fill>
    <fill>
      <patternFill patternType="solid">
        <fgColor rgb="FFFF9900"/>
        <bgColor rgb="FFE46C0A"/>
      </patternFill>
    </fill>
    <fill>
      <patternFill patternType="solid">
        <fgColor rgb="FF0066CC"/>
        <bgColor rgb="FF0070C0"/>
      </patternFill>
    </fill>
    <fill>
      <patternFill patternType="solid">
        <fgColor rgb="FF808000"/>
        <bgColor rgb="FF808080"/>
      </patternFill>
    </fill>
    <fill>
      <patternFill patternType="solid">
        <fgColor rgb="FFCC99FF"/>
        <bgColor rgb="FFBCBCBC"/>
      </patternFill>
    </fill>
    <fill>
      <patternFill patternType="solid">
        <fgColor rgb="FFC0C0C0"/>
        <bgColor rgb="FFBFBFBF"/>
      </patternFill>
    </fill>
    <fill>
      <patternFill patternType="solid">
        <fgColor rgb="FFFFFF00"/>
        <bgColor rgb="FFFFFF99"/>
      </patternFill>
    </fill>
    <fill>
      <patternFill patternType="solid">
        <fgColor rgb="FFFFB7B7"/>
        <bgColor rgb="FFFFCC99"/>
      </patternFill>
    </fill>
    <fill>
      <patternFill patternType="solid">
        <fgColor rgb="FFEDF9FF"/>
        <bgColor rgb="FFE3FAFD"/>
      </patternFill>
    </fill>
    <fill>
      <patternFill patternType="solid">
        <fgColor rgb="FF8DB4E2"/>
        <bgColor rgb="FF8EB4E3"/>
      </patternFill>
    </fill>
    <fill>
      <patternFill patternType="solid">
        <fgColor theme="2" tint="-0.1"/>
        <bgColor rgb="FFD9D9D9"/>
      </patternFill>
    </fill>
    <fill>
      <patternFill patternType="solid">
        <fgColor theme="5" tint="0.8"/>
        <bgColor rgb="FFE6E0EC"/>
      </patternFill>
    </fill>
    <fill>
      <patternFill patternType="solid">
        <fgColor theme="9" tint="-0.25"/>
        <bgColor rgb="FFE26B0A"/>
      </patternFill>
    </fill>
    <fill>
      <patternFill patternType="solid">
        <fgColor theme="6" tint="0.4"/>
        <bgColor rgb="FFDDD9C3"/>
      </patternFill>
    </fill>
    <fill>
      <patternFill patternType="solid">
        <fgColor theme="7" tint="0.8"/>
        <bgColor rgb="FFEAEBEE"/>
      </patternFill>
    </fill>
  </fills>
  <borders count="60">
    <border diagonalUp="false" diagonalDown="false">
      <left/>
      <right/>
      <top/>
      <bottom/>
      <diagonal/>
    </border>
    <border diagonalUp="false" diagonalDown="false">
      <left style="thin">
        <color rgb="FF999999"/>
      </left>
      <right style="thin">
        <color rgb="FF999999"/>
      </right>
      <top style="thin">
        <color rgb="FF999999"/>
      </top>
      <bottom style="thin">
        <color rgb="FF999999"/>
      </bottom>
      <diagonal/>
    </border>
    <border diagonalUp="false" diagonalDown="false">
      <left style="thin">
        <color rgb="FFBCBCBC"/>
      </left>
      <right style="thin">
        <color rgb="FFBCBCBC"/>
      </right>
      <top/>
      <bottom/>
      <diagonal/>
    </border>
    <border diagonalUp="false" diagonalDown="false">
      <left style="thin">
        <color rgb="FFBCBCBC"/>
      </left>
      <right/>
      <top/>
      <bottom/>
      <diagonal/>
    </border>
    <border diagonalUp="false" diagonalDown="false">
      <left style="thin">
        <color rgb="FFBCBCBC"/>
      </left>
      <right/>
      <top style="thin">
        <color rgb="FFBCBCBC"/>
      </top>
      <bottom/>
      <diagonal/>
    </border>
    <border diagonalUp="false" diagonalDown="false">
      <left/>
      <right/>
      <top style="thin">
        <color rgb="FFBCBCBC"/>
      </top>
      <bottom/>
      <diagonal/>
    </border>
    <border diagonalUp="false" diagonalDown="false">
      <left style="thin">
        <color rgb="FFBCBCBC"/>
      </left>
      <right style="thin">
        <color rgb="FFBCBCBC"/>
      </right>
      <top style="thin">
        <color rgb="FFBCBCBC"/>
      </top>
      <bottom/>
      <diagonal/>
    </border>
    <border diagonalUp="false" diagonalDown="false">
      <left style="thin">
        <color rgb="FFBCBCBC"/>
      </left>
      <right style="thin">
        <color rgb="FFBCBCBC"/>
      </right>
      <top style="thin">
        <color rgb="FFBCBCBC"/>
      </top>
      <bottom style="thin">
        <color rgb="FFBCBCBC"/>
      </bottom>
      <diagonal/>
    </border>
    <border diagonalUp="false" diagonalDown="false">
      <left style="thin">
        <color rgb="FFBCBCBC"/>
      </left>
      <right/>
      <top/>
      <bottom style="thin">
        <color rgb="FFBCBCBC"/>
      </bottom>
      <diagonal/>
    </border>
    <border diagonalUp="false" diagonalDown="false">
      <left/>
      <right/>
      <top/>
      <bottom style="thin">
        <color rgb="FFBCBCBC"/>
      </bottom>
      <diagonal/>
    </border>
    <border diagonalUp="false" diagonalDown="false">
      <left/>
      <right/>
      <top style="thin">
        <color rgb="FFC0C0C0"/>
      </top>
      <bottom style="thin">
        <color rgb="FFC0C0C0"/>
      </bottom>
      <diagonal/>
    </border>
    <border diagonalUp="false" diagonalDown="false">
      <left style="hair">
        <color rgb="FFC0C0C0"/>
      </left>
      <right/>
      <top style="hair">
        <color rgb="FFC0C0C0"/>
      </top>
      <bottom style="hair">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top style="thin">
        <color rgb="FFC0C0C0"/>
      </top>
      <bottom style="thin">
        <color rgb="FFC0C0C0"/>
      </bottom>
      <diagonal/>
    </border>
    <border diagonalUp="false" diagonalDown="false">
      <left/>
      <right/>
      <top style="thin">
        <color rgb="FFC0C0C0"/>
      </top>
      <bottom/>
      <diagonal/>
    </border>
    <border diagonalUp="false" diagonalDown="false">
      <left/>
      <right style="thin">
        <color rgb="FFC0C0C0"/>
      </right>
      <top style="thin">
        <color rgb="FFC0C0C0"/>
      </top>
      <bottom/>
      <diagonal/>
    </border>
    <border diagonalUp="false" diagonalDown="false">
      <left style="thin">
        <color rgb="FFC0C0C0"/>
      </left>
      <right/>
      <top/>
      <bottom/>
      <diagonal/>
    </border>
    <border diagonalUp="false" diagonalDown="false">
      <left/>
      <right style="thin">
        <color rgb="FFC0C0C0"/>
      </right>
      <top/>
      <bottom/>
      <diagonal/>
    </border>
    <border diagonalUp="false" diagonalDown="false">
      <left style="thin">
        <color rgb="FFC0C0C0"/>
      </left>
      <right style="thin">
        <color rgb="FFC0C0C0"/>
      </right>
      <top/>
      <bottom style="thin">
        <color rgb="FFC0C0C0"/>
      </bottom>
      <diagonal/>
    </border>
    <border diagonalUp="false" diagonalDown="false">
      <left/>
      <right style="thin">
        <color rgb="FFC0C0C0"/>
      </right>
      <top style="thin">
        <color rgb="FFC0C0C0"/>
      </top>
      <bottom style="thin">
        <color rgb="FFC0C0C0"/>
      </bottom>
      <diagonal/>
    </border>
    <border diagonalUp="false" diagonalDown="false">
      <left/>
      <right/>
      <top style="thin">
        <color rgb="FFD3DBDB"/>
      </top>
      <bottom/>
      <diagonal/>
    </border>
    <border diagonalUp="false" diagonalDown="false">
      <left/>
      <right/>
      <top/>
      <bottom style="thin">
        <color rgb="FFC0C0C0"/>
      </bottom>
      <diagonal/>
    </border>
    <border diagonalUp="false" diagonalDown="false">
      <left style="thin">
        <color rgb="FFC0C0C0"/>
      </left>
      <right/>
      <top style="thin">
        <color rgb="FFC0C0C0"/>
      </top>
      <bottom/>
      <diagonal/>
    </border>
    <border diagonalUp="false" diagonalDown="false">
      <left style="thin">
        <color rgb="FFC0C0C0"/>
      </left>
      <right style="thin">
        <color rgb="FFC0C0C0"/>
      </right>
      <top style="thin">
        <color rgb="FFBCBCBC"/>
      </top>
      <bottom style="thin">
        <color rgb="FFBCBCBC"/>
      </bottom>
      <diagonal/>
    </border>
    <border diagonalUp="false" diagonalDown="false">
      <left/>
      <right/>
      <top style="thin">
        <color rgb="FFBCBCBC"/>
      </top>
      <bottom style="thin">
        <color rgb="FFBCBCBC"/>
      </bottom>
      <diagonal/>
    </border>
    <border diagonalUp="false" diagonalDown="false">
      <left style="thin">
        <color rgb="FFC0C0C0"/>
      </left>
      <right style="thin">
        <color rgb="FFC0C0C0"/>
      </right>
      <top style="thin">
        <color rgb="FFC0C0C0"/>
      </top>
      <bottom/>
      <diagonal/>
    </border>
    <border diagonalUp="false" diagonalDown="false">
      <left style="thin">
        <color rgb="FFC0C0C0"/>
      </left>
      <right/>
      <top style="thin">
        <color rgb="FFBCBCBC"/>
      </top>
      <bottom style="thin">
        <color rgb="FFC0C0C0"/>
      </bottom>
      <diagonal/>
    </border>
    <border diagonalUp="false" diagonalDown="false">
      <left/>
      <right/>
      <top style="thin">
        <color rgb="FFBCBCBC"/>
      </top>
      <bottom style="thin">
        <color rgb="FFC0C0C0"/>
      </bottom>
      <diagonal/>
    </border>
    <border diagonalUp="false" diagonalDown="false">
      <left style="thin">
        <color rgb="FFC0C0C0"/>
      </left>
      <right/>
      <top/>
      <bottom style="thin">
        <color rgb="FFC0C0C0"/>
      </bottom>
      <diagonal/>
    </border>
    <border diagonalUp="false" diagonalDown="false">
      <left/>
      <right style="thin">
        <color rgb="FFC0C0C0"/>
      </right>
      <top/>
      <bottom style="thin">
        <color rgb="FFC0C0C0"/>
      </bottom>
      <diagonal/>
    </border>
    <border diagonalUp="false" diagonalDown="false">
      <left style="thin">
        <color rgb="FFC0C0C0"/>
      </left>
      <right style="thin">
        <color rgb="FFC0C0C0"/>
      </right>
      <top/>
      <bottom/>
      <diagonal/>
    </border>
    <border diagonalUp="false" diagonalDown="false">
      <left style="thin">
        <color theme="0" tint="-0.25"/>
      </left>
      <right style="thin">
        <color rgb="FFC0C0C0"/>
      </right>
      <top style="thin">
        <color rgb="FFC0C0C0"/>
      </top>
      <bottom style="thin">
        <color rgb="FFC0C0C0"/>
      </bottom>
      <diagonal/>
    </border>
    <border diagonalUp="false" diagonalDown="false">
      <left style="thin">
        <color theme="0" tint="-0.25"/>
      </left>
      <right style="thin">
        <color rgb="FFC0C0C0"/>
      </right>
      <top style="thin">
        <color rgb="FFC0C0C0"/>
      </top>
      <bottom/>
      <diagonal/>
    </border>
    <border diagonalUp="false" diagonalDown="false">
      <left style="thin">
        <color theme="0" tint="-0.25"/>
      </left>
      <right/>
      <top style="thin">
        <color rgb="FFC0C0C0"/>
      </top>
      <bottom style="thin">
        <color rgb="FFC0C0C0"/>
      </bottom>
      <diagonal/>
    </border>
    <border diagonalUp="false" diagonalDown="false">
      <left style="thin">
        <color theme="0" tint="-0.25"/>
      </left>
      <right/>
      <top style="thin">
        <color rgb="FFC0C0C0"/>
      </top>
      <bottom/>
      <diagonal/>
    </border>
    <border diagonalUp="false" diagonalDown="false">
      <left style="thin">
        <color theme="0" tint="-0.25"/>
      </left>
      <right style="thin">
        <color theme="0" tint="-0.25"/>
      </right>
      <top/>
      <bottom style="thin">
        <color theme="0" tint="-0.25"/>
      </bottom>
      <diagonal/>
    </border>
    <border diagonalUp="false" diagonalDown="false">
      <left style="thin">
        <color theme="0" tint="-0.25"/>
      </left>
      <right style="thin">
        <color theme="0" tint="-0.25"/>
      </right>
      <top/>
      <bottom/>
      <diagonal/>
    </border>
    <border diagonalUp="false" diagonalDown="false">
      <left style="thin">
        <color theme="0" tint="-0.25"/>
      </left>
      <right style="thin">
        <color theme="0" tint="-0.25"/>
      </right>
      <top style="thin">
        <color theme="0" tint="-0.25"/>
      </top>
      <bottom style="thin">
        <color theme="0" tint="-0.25"/>
      </bottom>
      <diagonal/>
    </border>
    <border diagonalUp="false" diagonalDown="false">
      <left style="thin">
        <color theme="0" tint="-0.25"/>
      </left>
      <right/>
      <top style="thin">
        <color theme="0" tint="-0.25"/>
      </top>
      <bottom style="thin">
        <color theme="0" tint="-0.25"/>
      </bottom>
      <diagonal/>
    </border>
    <border diagonalUp="false" diagonalDown="false">
      <left style="thin">
        <color theme="0" tint="-0.25"/>
      </left>
      <right style="thin">
        <color theme="0" tint="-0.25"/>
      </right>
      <top style="thin">
        <color theme="0" tint="-0.25"/>
      </top>
      <bottom/>
      <diagonal/>
    </border>
    <border diagonalUp="false" diagonalDown="false">
      <left style="thin">
        <color theme="0" tint="-0.25"/>
      </left>
      <right/>
      <top/>
      <bottom style="thin">
        <color theme="0" tint="-0.25"/>
      </bottom>
      <diagonal/>
    </border>
    <border diagonalUp="false" diagonalDown="false">
      <left style="thin">
        <color rgb="FFBCBCBC"/>
      </left>
      <right/>
      <top style="thin">
        <color rgb="FFBCBCBC"/>
      </top>
      <bottom style="thin">
        <color rgb="FFC0C0C0"/>
      </bottom>
      <diagonal/>
    </border>
    <border diagonalUp="false" diagonalDown="false">
      <left/>
      <right/>
      <top style="thin">
        <color rgb="FFD3DBDB"/>
      </top>
      <bottom style="thin">
        <color rgb="FFD3DBDB"/>
      </bottom>
      <diagonal/>
    </border>
    <border diagonalUp="false" diagonalDown="false">
      <left style="thin">
        <color rgb="FFD3DBDB"/>
      </left>
      <right/>
      <top style="thin">
        <color rgb="FFD3DBDB"/>
      </top>
      <bottom style="thin">
        <color rgb="FFD3DBDB"/>
      </bottom>
      <diagonal/>
    </border>
    <border diagonalUp="false" diagonalDown="false">
      <left style="thin">
        <color rgb="FFD3DBDB"/>
      </left>
      <right style="thin">
        <color rgb="FFD3DBDB"/>
      </right>
      <top style="thin">
        <color rgb="FFD3DBDB"/>
      </top>
      <bottom style="thin">
        <color rgb="FFD3DBDB"/>
      </bottom>
      <diagonal/>
    </border>
    <border diagonalUp="false" diagonalDown="false">
      <left style="thin"/>
      <right style="thin"/>
      <top style="thin"/>
      <bottom style="thin"/>
      <diagonal/>
    </border>
    <border diagonalUp="false" diagonalDown="false">
      <left style="thin">
        <color theme="0" tint="-0.35"/>
      </left>
      <right style="thin">
        <color theme="0" tint="-0.35"/>
      </right>
      <top style="thin">
        <color theme="0" tint="-0.35"/>
      </top>
      <bottom style="thin">
        <color theme="0" tint="-0.35"/>
      </bottom>
      <diagonal/>
    </border>
    <border diagonalUp="false" diagonalDown="false">
      <left style="thin">
        <color rgb="FFC0C0C0"/>
      </left>
      <right style="thin">
        <color rgb="FFC0C0C0"/>
      </right>
      <top style="thin">
        <color rgb="FFC0C0C0"/>
      </top>
      <bottom style="thin">
        <color rgb="FFBCBCBC"/>
      </bottom>
      <diagonal/>
    </border>
    <border diagonalUp="false" diagonalDown="false">
      <left style="thin">
        <color rgb="FFBCBCBC"/>
      </left>
      <right/>
      <top style="medium">
        <color rgb="FFBCBCBC"/>
      </top>
      <bottom/>
      <diagonal/>
    </border>
    <border diagonalUp="false" diagonalDown="false">
      <left/>
      <right/>
      <top style="medium">
        <color rgb="FFBCBCBC"/>
      </top>
      <bottom/>
      <diagonal/>
    </border>
    <border diagonalUp="false" diagonalDown="false">
      <left/>
      <right/>
      <top style="medium">
        <color rgb="FFBCBCBC"/>
      </top>
      <bottom style="thin">
        <color rgb="FFBCBCBC"/>
      </bottom>
      <diagonal/>
    </border>
    <border diagonalUp="false" diagonalDown="false">
      <left/>
      <right style="thin">
        <color rgb="FFBCBCBC"/>
      </right>
      <top style="medium">
        <color rgb="FFBCBCBC"/>
      </top>
      <bottom style="thin">
        <color rgb="FFBCBCBC"/>
      </bottom>
      <diagonal/>
    </border>
    <border diagonalUp="false" diagonalDown="false">
      <left style="thin">
        <color rgb="FFC0C0C0"/>
      </left>
      <right style="thin">
        <color rgb="FFC0C0C0"/>
      </right>
      <top style="thin">
        <color rgb="FFC0C0C0"/>
      </top>
      <bottom style="medium">
        <color rgb="FFC0C0C0"/>
      </bottom>
      <diagonal/>
    </border>
    <border diagonalUp="false" diagonalDown="false">
      <left/>
      <right style="thin">
        <color theme="0" tint="-0.25"/>
      </right>
      <top style="thin">
        <color rgb="FFC0C0C0"/>
      </top>
      <bottom style="thin">
        <color rgb="FFC0C0C0"/>
      </bottom>
      <diagonal/>
    </border>
    <border diagonalUp="false" diagonalDown="false">
      <left/>
      <right/>
      <top/>
      <bottom style="medium">
        <color rgb="FFC0C0C0"/>
      </bottom>
      <diagonal/>
    </border>
    <border diagonalUp="false" diagonalDown="false">
      <left/>
      <right/>
      <top style="thin">
        <color rgb="FFC0C0C0"/>
      </top>
      <bottom style="medium">
        <color rgb="FFC0C0C0"/>
      </bottom>
      <diagonal/>
    </border>
    <border diagonalUp="false" diagonalDown="false">
      <left style="thin">
        <color rgb="FFBCBCBC"/>
      </left>
      <right/>
      <top style="medium">
        <color rgb="FFBCBCBC"/>
      </top>
      <bottom style="thin">
        <color rgb="FFC0C0C0"/>
      </bottom>
      <diagonal/>
    </border>
    <border diagonalUp="false" diagonalDown="false">
      <left/>
      <right/>
      <top style="medium">
        <color rgb="FFC0C0C0"/>
      </top>
      <bottom style="thin">
        <color rgb="FFC0C0C0"/>
      </bottom>
      <diagonal/>
    </border>
    <border diagonalUp="false" diagonalDown="false">
      <left style="thin">
        <color rgb="FFC0C0C0"/>
      </left>
      <right/>
      <top style="thin">
        <color rgb="FFC0C0C0"/>
      </top>
      <bottom style="medium">
        <color rgb="FFC0C0C0"/>
      </bottom>
      <diagonal/>
    </border>
    <border diagonalUp="false" diagonalDown="false">
      <left/>
      <right/>
      <top style="dotted"/>
      <bottom style="dotted"/>
      <diagonal/>
    </border>
  </borders>
  <cellStyleXfs count="50">
    <xf numFmtId="164" fontId="0" fillId="0" borderId="0" applyFont="true" applyBorder="true" applyAlignment="true" applyProtection="true">
      <alignment horizontal="general" vertical="top"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false" applyAlignment="true" applyProtection="true">
      <alignment horizontal="general" vertical="bottom" textRotation="0" wrapText="false" indent="0" shrinkToFit="false"/>
      <protection locked="true" hidden="false"/>
    </xf>
    <xf numFmtId="166" fontId="4" fillId="0" borderId="0" applyFont="true" applyBorder="false" applyAlignment="true" applyProtection="true">
      <alignment horizontal="general" vertical="bottom" textRotation="0" wrapText="false" indent="0" shrinkToFit="false"/>
      <protection locked="true" hidden="false"/>
    </xf>
    <xf numFmtId="165" fontId="4" fillId="0" borderId="0" applyFont="true" applyBorder="false" applyAlignment="true" applyProtection="true">
      <alignment horizontal="general" vertical="bottom"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8" fontId="6" fillId="2" borderId="0" applyFont="true" applyBorder="false" applyAlignment="true" applyProtection="true">
      <alignment horizontal="general" vertical="bottom" textRotation="0" wrapText="false" indent="0" shrinkToFit="false"/>
      <protection locked="false" hidden="false"/>
    </xf>
    <xf numFmtId="165" fontId="7" fillId="0" borderId="0" applyFont="true" applyBorder="false" applyAlignment="true" applyProtection="true">
      <alignment horizontal="general" vertical="center" textRotation="0" wrapText="false" indent="0" shrinkToFit="false"/>
      <protection locked="true" hidden="false"/>
    </xf>
    <xf numFmtId="169" fontId="6" fillId="2" borderId="0" applyFont="true" applyBorder="false" applyAlignment="true" applyProtection="true">
      <alignment horizontal="general" vertical="bottom" textRotation="0" wrapText="false" indent="0" shrinkToFit="false"/>
      <protection locked="false" hidden="false"/>
    </xf>
    <xf numFmtId="170" fontId="6" fillId="2" borderId="0" applyFont="true" applyBorder="false" applyAlignment="true" applyProtection="true">
      <alignment horizontal="general" vertical="bottom" textRotation="0" wrapText="false" indent="0" shrinkToFit="false"/>
      <protection locked="false" hidden="false"/>
    </xf>
    <xf numFmtId="165" fontId="8" fillId="0" borderId="0" applyFont="true" applyBorder="false" applyAlignment="true" applyProtection="true">
      <alignment horizontal="general" vertical="top" textRotation="0" wrapText="false" indent="0" shrinkToFit="false"/>
      <protection locked="true" hidden="false"/>
    </xf>
    <xf numFmtId="165" fontId="9" fillId="0" borderId="0" applyFont="true" applyBorder="false" applyAlignment="true" applyProtection="true">
      <alignment horizontal="general" vertical="top" textRotation="0" wrapText="false" indent="0" shrinkToFit="false"/>
      <protection locked="true" hidden="false"/>
    </xf>
    <xf numFmtId="165" fontId="5" fillId="0" borderId="0" applyFont="true" applyBorder="false" applyAlignment="true" applyProtection="true">
      <alignment horizontal="general" vertical="bottom"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4" fontId="6" fillId="0" borderId="0" applyFont="true" applyBorder="false" applyAlignment="true" applyProtection="true">
      <alignment horizontal="general" vertical="top" textRotation="0" wrapText="false" indent="0" shrinkToFit="false"/>
      <protection locked="true" hidden="false"/>
    </xf>
    <xf numFmtId="165" fontId="4" fillId="0" borderId="0" applyFont="true" applyBorder="fals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top" textRotation="0" wrapText="false" indent="0" shrinkToFit="false"/>
      <protection locked="true" hidden="false"/>
    </xf>
    <xf numFmtId="165" fontId="10" fillId="0" borderId="0" applyFont="true" applyBorder="false" applyAlignment="true" applyProtection="true">
      <alignment horizontal="general" vertical="bottom" textRotation="0" wrapText="false" indent="0" shrinkToFit="false"/>
      <protection locked="true" hidden="false"/>
    </xf>
    <xf numFmtId="165" fontId="10" fillId="0" borderId="0" applyFont="true" applyBorder="false" applyAlignment="true" applyProtection="true">
      <alignment horizontal="general" vertical="bottom" textRotation="0" wrapText="false" indent="0" shrinkToFit="false"/>
      <protection locked="true" hidden="false"/>
    </xf>
    <xf numFmtId="165" fontId="11" fillId="0" borderId="0" applyFont="true" applyBorder="false" applyAlignment="true" applyProtection="true">
      <alignment horizontal="general" vertical="top" textRotation="0" wrapText="false" indent="0" shrinkToFit="false"/>
      <protection locked="true" hidden="false"/>
    </xf>
  </cellStyleXfs>
  <cellXfs count="1285">
    <xf numFmtId="164" fontId="0" fillId="0" borderId="0" xfId="0" applyFont="false" applyBorder="false" applyAlignment="false" applyProtection="false">
      <alignment horizontal="general" vertical="top" textRotation="0" wrapText="false" indent="0" shrinkToFit="false"/>
      <protection locked="true" hidden="false"/>
    </xf>
    <xf numFmtId="165" fontId="10" fillId="0" borderId="0" xfId="0" applyFont="true" applyBorder="true" applyAlignment="true" applyProtection="false">
      <alignment horizontal="general" vertical="bottom" textRotation="0" wrapText="false" indent="0" shrinkToFit="false"/>
      <protection locked="true" hidden="false"/>
    </xf>
    <xf numFmtId="165" fontId="12"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center" textRotation="0" wrapText="tru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5" fontId="15" fillId="0" borderId="0" xfId="0" applyFont="true" applyBorder="true" applyAlignment="true" applyProtection="false">
      <alignment horizontal="general" vertical="center" textRotation="0" wrapText="true" indent="0" shrinkToFit="false"/>
      <protection locked="true" hidden="false"/>
    </xf>
    <xf numFmtId="165" fontId="15" fillId="0" borderId="0" xfId="0" applyFont="true" applyBorder="true" applyAlignment="true" applyProtection="false">
      <alignment horizontal="left" vertical="center" textRotation="0" wrapText="tru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5" fontId="15" fillId="0" borderId="0" xfId="0" applyFont="true" applyBorder="true" applyAlignment="true" applyProtection="false">
      <alignment horizontal="general" vertical="center" textRotation="0" wrapText="false" indent="0" shrinkToFit="false"/>
      <protection locked="true" hidden="false"/>
    </xf>
    <xf numFmtId="165" fontId="17" fillId="0" borderId="0" xfId="0" applyFont="true" applyBorder="true" applyAlignment="true" applyProtection="false">
      <alignment horizontal="left" vertical="top" textRotation="0" wrapText="true" indent="0" shrinkToFit="false"/>
      <protection locked="true" hidden="false"/>
    </xf>
    <xf numFmtId="164" fontId="6" fillId="0" borderId="0" xfId="0" applyFont="true" applyBorder="true" applyAlignment="true" applyProtection="false">
      <alignment horizontal="general" vertical="top" textRotation="0" wrapText="true" indent="0" shrinkToFit="false"/>
      <protection locked="true" hidden="false"/>
    </xf>
    <xf numFmtId="171" fontId="17" fillId="3" borderId="1" xfId="0" applyFont="true" applyBorder="true" applyAlignment="true" applyProtection="false">
      <alignment horizontal="center" vertical="center" textRotation="0" wrapText="true" indent="0" shrinkToFit="false"/>
      <protection locked="true" hidden="false"/>
    </xf>
    <xf numFmtId="165" fontId="13" fillId="0" borderId="0" xfId="0" applyFont="true" applyBorder="true" applyAlignment="true" applyProtection="false">
      <alignment horizontal="general" vertical="bottom" textRotation="0" wrapText="true" indent="0" shrinkToFit="false"/>
      <protection locked="true" hidden="false"/>
    </xf>
    <xf numFmtId="165" fontId="17" fillId="4" borderId="2" xfId="0" applyFont="true" applyBorder="true" applyAlignment="true" applyProtection="false">
      <alignment horizontal="right" vertical="center" textRotation="0" wrapText="true" indent="1" shrinkToFit="false"/>
      <protection locked="true" hidden="false"/>
    </xf>
    <xf numFmtId="165" fontId="18" fillId="0" borderId="0" xfId="0" applyFont="true" applyBorder="true" applyAlignment="true" applyProtection="false">
      <alignment horizontal="left" vertical="center" textRotation="0" wrapText="true" indent="0" shrinkToFit="false"/>
      <protection locked="true" hidden="false"/>
    </xf>
    <xf numFmtId="165" fontId="19" fillId="0" borderId="0" xfId="0" applyFont="true" applyBorder="true" applyAlignment="true" applyProtection="false">
      <alignment horizontal="general" vertical="center" textRotation="0" wrapText="true" indent="0" shrinkToFit="false"/>
      <protection locked="true" hidden="false"/>
    </xf>
    <xf numFmtId="165" fontId="13" fillId="0" borderId="3"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true" applyAlignment="true" applyProtection="false">
      <alignment horizontal="general" vertical="bottom" textRotation="0" wrapText="false" indent="0" shrinkToFit="false"/>
      <protection locked="true" hidden="false"/>
    </xf>
    <xf numFmtId="165" fontId="18" fillId="0" borderId="0" xfId="0" applyFont="true" applyBorder="true" applyAlignment="true" applyProtection="false">
      <alignment horizontal="general" vertical="bottom" textRotation="0" wrapText="false" indent="0" shrinkToFit="false"/>
      <protection locked="true" hidden="false"/>
    </xf>
    <xf numFmtId="165" fontId="20" fillId="0" borderId="0" xfId="0" applyFont="true" applyBorder="true" applyAlignment="true" applyProtection="false">
      <alignment horizontal="general" vertical="bottom" textRotation="0" wrapText="true" indent="0" shrinkToFit="false"/>
      <protection locked="true" hidden="false"/>
    </xf>
    <xf numFmtId="165" fontId="0" fillId="5" borderId="4" xfId="0" applyFont="true" applyBorder="true" applyAlignment="true" applyProtection="false">
      <alignment horizontal="center" vertical="center" textRotation="0" wrapText="true" indent="0" shrinkToFit="false"/>
      <protection locked="true" hidden="false"/>
    </xf>
    <xf numFmtId="165" fontId="20" fillId="0" borderId="3" xfId="0" applyFont="true" applyBorder="true" applyAlignment="true" applyProtection="false">
      <alignment horizontal="general" vertical="center" textRotation="0" wrapText="true" indent="0" shrinkToFit="false"/>
      <protection locked="true" hidden="false"/>
    </xf>
    <xf numFmtId="165" fontId="0" fillId="6" borderId="4" xfId="0" applyFont="true" applyBorder="true" applyAlignment="true" applyProtection="false">
      <alignment horizontal="center" vertical="center" textRotation="0" wrapText="true" indent="0" shrinkToFit="false"/>
      <protection locked="true" hidden="false"/>
    </xf>
    <xf numFmtId="165" fontId="20" fillId="0" borderId="3" xfId="0" applyFont="true" applyBorder="true" applyAlignment="true" applyProtection="false">
      <alignment horizontal="left" vertical="center" textRotation="0" wrapText="true" indent="0" shrinkToFit="false"/>
      <protection locked="true" hidden="false"/>
    </xf>
    <xf numFmtId="165" fontId="0" fillId="7" borderId="4" xfId="0" applyFont="true" applyBorder="true" applyAlignment="true" applyProtection="false">
      <alignment horizontal="center" vertical="center" textRotation="0" wrapText="true" indent="0" shrinkToFit="false"/>
      <protection locked="true" hidden="false"/>
    </xf>
    <xf numFmtId="165" fontId="0" fillId="8" borderId="4" xfId="0" applyFont="true" applyBorder="true" applyAlignment="true" applyProtection="false">
      <alignment horizontal="center" vertical="center" textRotation="0" wrapText="true" indent="0" shrinkToFit="false"/>
      <protection locked="true" hidden="false"/>
    </xf>
    <xf numFmtId="165" fontId="18" fillId="0" borderId="3" xfId="0" applyFont="true" applyBorder="true" applyAlignment="true" applyProtection="false">
      <alignment horizontal="left" vertical="center" textRotation="0" wrapText="true" indent="0" shrinkToFit="false"/>
      <protection locked="true" hidden="false"/>
    </xf>
    <xf numFmtId="165" fontId="18" fillId="0" borderId="5" xfId="0" applyFont="true" applyBorder="true" applyAlignment="true" applyProtection="false">
      <alignment horizontal="left" vertical="center" textRotation="0" wrapText="true" indent="0" shrinkToFit="false"/>
      <protection locked="true" hidden="false"/>
    </xf>
    <xf numFmtId="165" fontId="17" fillId="4" borderId="6" xfId="0" applyFont="true" applyBorder="true" applyAlignment="true" applyProtection="false">
      <alignment horizontal="right" vertical="center" textRotation="0" wrapText="true" indent="1" shrinkToFit="false"/>
      <protection locked="true" hidden="false"/>
    </xf>
    <xf numFmtId="165" fontId="20" fillId="0" borderId="0" xfId="0" applyFont="true" applyBorder="true" applyAlignment="true" applyProtection="false">
      <alignment horizontal="general" vertical="bottom" textRotation="0" wrapText="false" indent="0" shrinkToFit="false"/>
      <protection locked="true" hidden="false"/>
    </xf>
    <xf numFmtId="165" fontId="20" fillId="0" borderId="3" xfId="0" applyFont="true" applyBorder="true" applyAlignment="true" applyProtection="false">
      <alignment horizontal="general" vertical="bottom" textRotation="0" wrapText="true" indent="0" shrinkToFit="false"/>
      <protection locked="true" hidden="false"/>
    </xf>
    <xf numFmtId="165" fontId="20" fillId="0" borderId="0" xfId="0" applyFont="true" applyBorder="true" applyAlignment="true" applyProtection="false">
      <alignment horizontal="general" vertical="center" textRotation="0" wrapText="true" indent="0" shrinkToFit="false"/>
      <protection locked="true" hidden="false"/>
    </xf>
    <xf numFmtId="165" fontId="17" fillId="4" borderId="7" xfId="0" applyFont="true" applyBorder="true" applyAlignment="true" applyProtection="false">
      <alignment horizontal="right" vertical="center" textRotation="0" wrapText="true" indent="1" shrinkToFit="false"/>
      <protection locked="true" hidden="false"/>
    </xf>
    <xf numFmtId="165" fontId="20" fillId="0" borderId="0" xfId="0" applyFont="true" applyBorder="true" applyAlignment="true" applyProtection="false">
      <alignment horizontal="general" vertical="top" textRotation="0" wrapText="true" indent="0" shrinkToFit="false"/>
      <protection locked="true" hidden="false"/>
    </xf>
    <xf numFmtId="165" fontId="13" fillId="0" borderId="8" xfId="0" applyFont="true" applyBorder="true" applyAlignment="true" applyProtection="false">
      <alignment horizontal="general" vertical="bottom" textRotation="0" wrapText="true" indent="0" shrinkToFit="false"/>
      <protection locked="true" hidden="false"/>
    </xf>
    <xf numFmtId="165" fontId="13" fillId="0" borderId="9" xfId="0" applyFont="true" applyBorder="true" applyAlignment="true" applyProtection="false">
      <alignment horizontal="general" vertical="bottom" textRotation="0" wrapText="true" indent="0" shrinkToFit="false"/>
      <protection locked="true" hidden="false"/>
    </xf>
    <xf numFmtId="165" fontId="13" fillId="0" borderId="9" xfId="0" applyFont="true" applyBorder="true" applyAlignment="true" applyProtection="false">
      <alignment horizontal="general" vertical="center" textRotation="0" wrapText="true" indent="0" shrinkToFit="false"/>
      <protection locked="true" hidden="false"/>
    </xf>
    <xf numFmtId="165" fontId="14" fillId="0" borderId="0" xfId="0" applyFont="true" applyBorder="true" applyAlignment="true" applyProtection="false">
      <alignment horizontal="general" vertical="bottom" textRotation="0" wrapText="false" indent="0" shrinkToFit="false"/>
      <protection locked="true" hidden="false"/>
    </xf>
    <xf numFmtId="165" fontId="21" fillId="0" borderId="0" xfId="0" applyFont="true" applyBorder="true" applyAlignment="true" applyProtection="false">
      <alignment horizontal="left" vertical="center" textRotation="0" wrapText="true" indent="0" shrinkToFit="false"/>
      <protection locked="true" hidden="false"/>
    </xf>
    <xf numFmtId="165" fontId="22" fillId="0" borderId="0" xfId="0" applyFont="true" applyBorder="true" applyAlignment="true" applyProtection="false">
      <alignment horizontal="left" vertical="center" textRotation="0" wrapText="true" indent="0" shrinkToFit="false"/>
      <protection locked="true" hidden="false"/>
    </xf>
    <xf numFmtId="165" fontId="23"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center" vertical="center" textRotation="0" wrapText="true" indent="0" shrinkToFit="false"/>
      <protection locked="true" hidden="false"/>
    </xf>
    <xf numFmtId="165" fontId="22" fillId="0" borderId="0" xfId="0" applyFont="true" applyBorder="true" applyAlignment="true" applyProtection="false">
      <alignment horizontal="center" vertical="center" textRotation="0" wrapText="true" indent="0" shrinkToFit="false"/>
      <protection locked="true" hidden="false"/>
    </xf>
    <xf numFmtId="165" fontId="24" fillId="0" borderId="0" xfId="0" applyFont="true" applyBorder="true" applyAlignment="true" applyProtection="false">
      <alignment horizontal="general" vertical="center" textRotation="0" wrapText="true" indent="0" shrinkToFit="false"/>
      <protection locked="true" hidden="false"/>
    </xf>
    <xf numFmtId="165" fontId="25" fillId="0" borderId="0" xfId="0" applyFont="true" applyBorder="true" applyAlignment="true" applyProtection="false">
      <alignment horizontal="left" vertical="center" textRotation="0" wrapText="true" indent="0" shrinkToFit="false"/>
      <protection locked="true" hidden="false"/>
    </xf>
    <xf numFmtId="165" fontId="25" fillId="0" borderId="0" xfId="0" applyFont="true" applyBorder="true" applyAlignment="true" applyProtection="false">
      <alignment horizontal="general" vertical="center" textRotation="0" wrapText="true" indent="0" shrinkToFit="false"/>
      <protection locked="true" hidden="false"/>
    </xf>
    <xf numFmtId="165" fontId="22" fillId="0" borderId="0" xfId="0" applyFont="true" applyBorder="true" applyAlignment="true" applyProtection="false">
      <alignment horizontal="general" vertical="center" textRotation="0" wrapText="true" indent="0" shrinkToFit="false"/>
      <protection locked="true" hidden="false"/>
    </xf>
    <xf numFmtId="165" fontId="26" fillId="0" borderId="0" xfId="0" applyFont="true" applyBorder="true" applyAlignment="true" applyProtection="false">
      <alignment horizontal="general" vertical="center" textRotation="0" wrapText="true" indent="0" shrinkToFit="false"/>
      <protection locked="true" hidden="false"/>
    </xf>
    <xf numFmtId="171" fontId="6" fillId="0" borderId="0" xfId="0" applyFont="true" applyBorder="true" applyAlignment="true" applyProtection="false">
      <alignment horizontal="left" vertical="top" textRotation="0" wrapText="false" indent="1" shrinkToFit="false"/>
      <protection locked="true" hidden="false"/>
    </xf>
    <xf numFmtId="164" fontId="13" fillId="0" borderId="0" xfId="0" applyFont="true" applyBorder="true" applyAlignment="true" applyProtection="false">
      <alignment horizontal="general" vertical="top" textRotation="0" wrapText="false" indent="0" shrinkToFit="false"/>
      <protection locked="true" hidden="false"/>
    </xf>
    <xf numFmtId="164" fontId="6" fillId="0" borderId="0" xfId="0" applyFont="true" applyBorder="true" applyAlignment="true" applyProtection="false">
      <alignment horizontal="general" vertical="center" textRotation="0" wrapText="true" indent="0" shrinkToFit="false"/>
      <protection locked="true" hidden="false"/>
    </xf>
    <xf numFmtId="164" fontId="24" fillId="0" borderId="0" xfId="0" applyFont="true" applyBorder="true" applyAlignment="true" applyProtection="false">
      <alignment horizontal="general" vertical="center" textRotation="0" wrapText="true" indent="0" shrinkToFit="false"/>
      <protection locked="true" hidden="false"/>
    </xf>
    <xf numFmtId="171" fontId="0" fillId="0" borderId="0" xfId="0" applyFont="true" applyBorder="true" applyAlignment="true" applyProtection="false">
      <alignment horizontal="left" vertical="center" textRotation="0" wrapText="false" indent="1" shrinkToFit="false"/>
      <protection locked="true" hidden="false"/>
    </xf>
    <xf numFmtId="164" fontId="0" fillId="0" borderId="0" xfId="0" applyFont="true" applyBorder="true" applyAlignment="true" applyProtection="false">
      <alignment horizontal="general" vertical="top" textRotation="0" wrapText="false" indent="0" shrinkToFit="false"/>
      <protection locked="true" hidden="false"/>
    </xf>
    <xf numFmtId="164" fontId="24" fillId="0" borderId="0" xfId="0" applyFont="true" applyBorder="true" applyAlignment="true" applyProtection="false">
      <alignment horizontal="general" vertical="top" textRotation="0" wrapText="false" indent="0" shrinkToFit="false"/>
      <protection locked="true" hidden="false"/>
    </xf>
    <xf numFmtId="165" fontId="27" fillId="0" borderId="0" xfId="0" applyFont="true" applyBorder="true" applyAlignment="true" applyProtection="false">
      <alignment horizontal="left" vertical="center" textRotation="0" wrapText="true" indent="0" shrinkToFit="false"/>
      <protection locked="true" hidden="false"/>
    </xf>
    <xf numFmtId="165" fontId="28" fillId="0" borderId="0" xfId="0" applyFont="true" applyBorder="true" applyAlignment="true" applyProtection="false">
      <alignment horizontal="general" vertical="center" textRotation="0" wrapText="true" indent="0" shrinkToFit="false"/>
      <protection locked="true" hidden="false"/>
    </xf>
    <xf numFmtId="165" fontId="29" fillId="9" borderId="0" xfId="0" applyFont="true" applyBorder="true" applyAlignment="true" applyProtection="false">
      <alignment horizontal="general" vertical="center" textRotation="0" wrapText="true" indent="0" shrinkToFit="false"/>
      <protection locked="true" hidden="false"/>
    </xf>
    <xf numFmtId="165" fontId="29" fillId="0" borderId="0" xfId="0" applyFont="true" applyBorder="true" applyAlignment="true" applyProtection="false">
      <alignment horizontal="general" vertical="center" textRotation="0" wrapText="true" indent="0" shrinkToFit="false"/>
      <protection locked="true" hidden="false"/>
    </xf>
    <xf numFmtId="165" fontId="29" fillId="0" borderId="0" xfId="0" applyFont="true" applyBorder="true" applyAlignment="true" applyProtection="false">
      <alignment horizontal="right" vertical="center" textRotation="0" wrapText="false" indent="0" shrinkToFit="false"/>
      <protection locked="true" hidden="false"/>
    </xf>
    <xf numFmtId="165" fontId="30" fillId="0" borderId="0" xfId="0" applyFont="true" applyBorder="true" applyAlignment="true" applyProtection="false">
      <alignment horizontal="general" vertical="center" textRotation="0" wrapText="true" indent="0" shrinkToFit="false"/>
      <protection locked="true" hidden="false"/>
    </xf>
    <xf numFmtId="165" fontId="31" fillId="9" borderId="0" xfId="0" applyFont="true" applyBorder="true" applyAlignment="true" applyProtection="false">
      <alignment horizontal="general" vertical="center" textRotation="0" wrapText="true" indent="0" shrinkToFit="false"/>
      <protection locked="true" hidden="false"/>
    </xf>
    <xf numFmtId="171" fontId="6" fillId="0" borderId="10" xfId="0" applyFont="true" applyBorder="true" applyAlignment="true" applyProtection="false">
      <alignment horizontal="center" vertical="center" textRotation="0" wrapText="true" indent="0" shrinkToFit="false"/>
      <protection locked="true" hidden="false"/>
    </xf>
    <xf numFmtId="165" fontId="32" fillId="9" borderId="0" xfId="0" applyFont="true" applyBorder="true" applyAlignment="true" applyProtection="false">
      <alignment horizontal="general" vertical="center" textRotation="0" wrapText="true" indent="0" shrinkToFit="false"/>
      <protection locked="true" hidden="false"/>
    </xf>
    <xf numFmtId="165" fontId="33" fillId="0" borderId="0" xfId="0" applyFont="true" applyBorder="true" applyAlignment="true" applyProtection="false">
      <alignment horizontal="general" vertical="center" textRotation="0" wrapText="true" indent="0" shrinkToFit="false"/>
      <protection locked="true" hidden="false"/>
    </xf>
    <xf numFmtId="165" fontId="29" fillId="9" borderId="0" xfId="0" applyFont="true" applyBorder="true" applyAlignment="true" applyProtection="false">
      <alignment horizontal="right" vertical="center" textRotation="0" wrapText="true" indent="1" shrinkToFit="false"/>
      <protection locked="true" hidden="false"/>
    </xf>
    <xf numFmtId="165" fontId="34" fillId="9" borderId="0" xfId="0" applyFont="true" applyBorder="true" applyAlignment="true" applyProtection="false">
      <alignment horizontal="center" vertical="center" textRotation="0" wrapText="true" indent="0" shrinkToFit="false"/>
      <protection locked="true" hidden="false"/>
    </xf>
    <xf numFmtId="165" fontId="6" fillId="9" borderId="11" xfId="0" applyFont="true" applyBorder="true" applyAlignment="true" applyProtection="false">
      <alignment horizontal="right" vertical="center" textRotation="0" wrapText="true" indent="1" shrinkToFit="false"/>
      <protection locked="true" hidden="false"/>
    </xf>
    <xf numFmtId="165" fontId="0" fillId="7" borderId="12" xfId="0" applyFont="true" applyBorder="true" applyAlignment="true" applyProtection="false">
      <alignment horizontal="left" vertical="center" textRotation="0" wrapText="true" indent="1" shrinkToFit="false"/>
      <protection locked="true" hidden="false"/>
    </xf>
    <xf numFmtId="172" fontId="21" fillId="9" borderId="0" xfId="0" applyFont="true" applyBorder="true" applyAlignment="true" applyProtection="false">
      <alignment horizontal="left" vertical="center" textRotation="0" wrapText="true" indent="0" shrinkToFit="false"/>
      <protection locked="true" hidden="false"/>
    </xf>
    <xf numFmtId="165" fontId="27" fillId="9" borderId="0" xfId="0" applyFont="true" applyBorder="true" applyAlignment="true" applyProtection="false">
      <alignment horizontal="center" vertical="center" textRotation="0" wrapText="true" indent="0" shrinkToFit="false"/>
      <protection locked="true" hidden="false"/>
    </xf>
    <xf numFmtId="165" fontId="29" fillId="9" borderId="0" xfId="0" applyFont="true" applyBorder="true" applyAlignment="true" applyProtection="false">
      <alignment horizontal="left" vertical="center" textRotation="0" wrapText="true" indent="1" shrinkToFit="false"/>
      <protection locked="true" hidden="false"/>
    </xf>
    <xf numFmtId="165" fontId="6" fillId="9" borderId="0" xfId="0" applyFont="true" applyBorder="true" applyAlignment="true" applyProtection="false">
      <alignment horizontal="center" vertical="center" textRotation="0" wrapText="true" indent="0" shrinkToFit="false"/>
      <protection locked="true" hidden="false"/>
    </xf>
    <xf numFmtId="165" fontId="30" fillId="0" borderId="0" xfId="0" applyFont="true" applyBorder="true" applyAlignment="true" applyProtection="false">
      <alignment horizontal="center" vertical="center" textRotation="0" wrapText="true" indent="0" shrinkToFit="false"/>
      <protection locked="true" hidden="false"/>
    </xf>
    <xf numFmtId="165" fontId="6" fillId="8" borderId="12" xfId="0" applyFont="true" applyBorder="true" applyAlignment="true" applyProtection="true">
      <alignment horizontal="left" vertical="top" textRotation="0" wrapText="true" indent="1" shrinkToFit="false"/>
      <protection locked="false" hidden="false"/>
    </xf>
    <xf numFmtId="165" fontId="6" fillId="0" borderId="0" xfId="0" applyFont="true" applyBorder="true" applyAlignment="true" applyProtection="false">
      <alignment horizontal="left" vertical="center" textRotation="0" wrapText="true" indent="0" shrinkToFit="false"/>
      <protection locked="true" hidden="false"/>
    </xf>
    <xf numFmtId="164" fontId="6" fillId="10" borderId="12" xfId="0" applyFont="true" applyBorder="true" applyAlignment="true" applyProtection="false">
      <alignment horizontal="left" vertical="center" textRotation="0" wrapText="true" indent="1" shrinkToFit="false"/>
      <protection locked="true" hidden="false"/>
    </xf>
    <xf numFmtId="172" fontId="35" fillId="0" borderId="12" xfId="0" applyFont="true" applyBorder="true" applyAlignment="true" applyProtection="false">
      <alignment horizontal="center" vertical="center" textRotation="0" wrapText="true" indent="0" shrinkToFit="false"/>
      <protection locked="true" hidden="false"/>
    </xf>
    <xf numFmtId="165" fontId="36" fillId="9" borderId="11" xfId="0" applyFont="true" applyBorder="true" applyAlignment="true" applyProtection="false">
      <alignment horizontal="right" vertical="center" textRotation="0" wrapText="true" indent="1" shrinkToFit="false"/>
      <protection locked="true" hidden="false"/>
    </xf>
    <xf numFmtId="173" fontId="0" fillId="8" borderId="12" xfId="0" applyFont="true" applyBorder="true" applyAlignment="true" applyProtection="true">
      <alignment horizontal="left" vertical="center" textRotation="0" wrapText="true" indent="1" shrinkToFit="false"/>
      <protection locked="false" hidden="false"/>
    </xf>
    <xf numFmtId="165" fontId="37" fillId="0" borderId="0" xfId="0" applyFont="true" applyBorder="true" applyAlignment="true" applyProtection="false">
      <alignment horizontal="left" vertical="center" textRotation="0" wrapText="false" indent="1" shrinkToFit="false"/>
      <protection locked="true" hidden="false"/>
    </xf>
    <xf numFmtId="165" fontId="6" fillId="9" borderId="0" xfId="0" applyFont="true" applyBorder="true" applyAlignment="true" applyProtection="false">
      <alignment horizontal="general" vertical="center" textRotation="0" wrapText="true" indent="0" shrinkToFit="false"/>
      <protection locked="true" hidden="false"/>
    </xf>
    <xf numFmtId="172" fontId="35" fillId="0" borderId="12" xfId="0" applyFont="true" applyBorder="true" applyAlignment="true" applyProtection="false">
      <alignment horizontal="left" vertical="center" textRotation="0" wrapText="true" indent="0" shrinkToFit="false"/>
      <protection locked="true" hidden="false"/>
    </xf>
    <xf numFmtId="164" fontId="36" fillId="9" borderId="11" xfId="0" applyFont="true" applyBorder="true" applyAlignment="true" applyProtection="false">
      <alignment horizontal="right" vertical="center" textRotation="0" wrapText="true" indent="1" shrinkToFit="false"/>
      <protection locked="true" hidden="false"/>
    </xf>
    <xf numFmtId="165" fontId="0" fillId="8" borderId="12" xfId="0" applyFont="true" applyBorder="true" applyAlignment="true" applyProtection="true">
      <alignment horizontal="left" vertical="center" textRotation="0" wrapText="true" indent="1" shrinkToFit="false"/>
      <protection locked="false" hidden="false"/>
    </xf>
    <xf numFmtId="164" fontId="6" fillId="8" borderId="12" xfId="0" applyFont="true" applyBorder="true" applyAlignment="true" applyProtection="true">
      <alignment horizontal="left" vertical="center" textRotation="0" wrapText="true" indent="1" shrinkToFit="false"/>
      <protection locked="false" hidden="false"/>
    </xf>
    <xf numFmtId="164" fontId="6" fillId="9" borderId="11" xfId="0" applyFont="true" applyBorder="true" applyAlignment="true" applyProtection="false">
      <alignment horizontal="right" vertical="center" textRotation="0" wrapText="true" indent="1" shrinkToFit="false"/>
      <protection locked="true" hidden="false"/>
    </xf>
    <xf numFmtId="173" fontId="0" fillId="0" borderId="12" xfId="0" applyFont="true" applyBorder="true" applyAlignment="true" applyProtection="false">
      <alignment horizontal="left" vertical="center" textRotation="0" wrapText="true" indent="1" shrinkToFit="false"/>
      <protection locked="true" hidden="false"/>
    </xf>
    <xf numFmtId="165" fontId="0" fillId="9" borderId="0" xfId="0" applyFont="true" applyBorder="true" applyAlignment="true" applyProtection="false">
      <alignment horizontal="right" vertical="center" textRotation="0" wrapText="true" indent="1" shrinkToFit="false"/>
      <protection locked="true" hidden="false"/>
    </xf>
    <xf numFmtId="165" fontId="33" fillId="0" borderId="0" xfId="0" applyFont="true" applyBorder="true" applyAlignment="true" applyProtection="false">
      <alignment horizontal="left" vertical="center" textRotation="0" wrapText="true" indent="0" shrinkToFit="false"/>
      <protection locked="true" hidden="false"/>
    </xf>
    <xf numFmtId="165" fontId="6" fillId="9" borderId="0" xfId="0" applyFont="true" applyBorder="true" applyAlignment="true" applyProtection="false">
      <alignment horizontal="right" vertical="center" textRotation="0" wrapText="true" indent="1" shrinkToFit="false"/>
      <protection locked="true" hidden="false"/>
    </xf>
    <xf numFmtId="165" fontId="0" fillId="9" borderId="0" xfId="0" applyFont="true" applyBorder="true" applyAlignment="true" applyProtection="false">
      <alignment horizontal="left" vertical="center" textRotation="0" wrapText="true" indent="1" shrinkToFit="false"/>
      <protection locked="true" hidden="false"/>
    </xf>
    <xf numFmtId="164" fontId="6" fillId="0" borderId="12" xfId="0" applyFont="true" applyBorder="true" applyAlignment="true" applyProtection="false">
      <alignment horizontal="left" vertical="center" textRotation="0" wrapText="true" indent="1" shrinkToFit="false"/>
      <protection locked="true" hidden="false"/>
    </xf>
    <xf numFmtId="165" fontId="23" fillId="0" borderId="0" xfId="0" applyFont="true" applyBorder="true" applyAlignment="true" applyProtection="false">
      <alignment horizontal="center" vertical="center" textRotation="0" wrapText="true" indent="0" shrinkToFit="false"/>
      <protection locked="true" hidden="false"/>
    </xf>
    <xf numFmtId="165" fontId="38" fillId="9" borderId="0" xfId="0" applyFont="true" applyBorder="true" applyAlignment="true" applyProtection="false">
      <alignment horizontal="center" vertical="center" textRotation="0" wrapText="true" indent="0" shrinkToFit="false"/>
      <protection locked="true" hidden="false"/>
    </xf>
    <xf numFmtId="164" fontId="6" fillId="7" borderId="12" xfId="0" applyFont="true" applyBorder="true" applyAlignment="true" applyProtection="false">
      <alignment horizontal="left" vertical="center" textRotation="0" wrapText="true" indent="1" shrinkToFit="false"/>
      <protection locked="true" hidden="false"/>
    </xf>
    <xf numFmtId="172" fontId="6" fillId="9" borderId="0" xfId="0" applyFont="true" applyBorder="true" applyAlignment="true" applyProtection="false">
      <alignment horizontal="center" vertical="center" textRotation="0" wrapText="true" indent="0" shrinkToFit="false"/>
      <protection locked="true" hidden="false"/>
    </xf>
    <xf numFmtId="165" fontId="0" fillId="9" borderId="11" xfId="0" applyFont="true" applyBorder="true" applyAlignment="true" applyProtection="false">
      <alignment horizontal="right" vertical="center" textRotation="0" wrapText="true" indent="1" shrinkToFit="false"/>
      <protection locked="true" hidden="false"/>
    </xf>
    <xf numFmtId="165" fontId="6" fillId="0" borderId="0" xfId="0" applyFont="true" applyBorder="true" applyAlignment="true" applyProtection="false">
      <alignment horizontal="general" vertical="center" textRotation="0" wrapText="false" indent="0" shrinkToFit="false"/>
      <protection locked="true" hidden="false"/>
    </xf>
    <xf numFmtId="172" fontId="6" fillId="9" borderId="0" xfId="0" applyFont="true" applyBorder="true" applyAlignment="true" applyProtection="false">
      <alignment horizontal="left"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1" shrinkToFit="false"/>
      <protection locked="false" hidden="false"/>
    </xf>
    <xf numFmtId="165" fontId="39" fillId="9" borderId="0" xfId="0" applyFont="true" applyBorder="true" applyAlignment="true" applyProtection="false">
      <alignment horizontal="right" vertical="center" textRotation="0" wrapText="true" indent="1" shrinkToFit="false"/>
      <protection locked="true" hidden="false"/>
    </xf>
    <xf numFmtId="165" fontId="39" fillId="9" borderId="0" xfId="0" applyFont="true" applyBorder="true" applyAlignment="true" applyProtection="false">
      <alignment horizontal="left" vertical="center" textRotation="0" wrapText="true" indent="1" shrinkToFit="false"/>
      <protection locked="true" hidden="false"/>
    </xf>
    <xf numFmtId="164" fontId="40" fillId="0" borderId="12" xfId="0" applyFont="true" applyBorder="true" applyAlignment="true" applyProtection="false">
      <alignment horizontal="left" vertical="center" textRotation="0" wrapText="true" indent="1" shrinkToFit="false"/>
      <protection locked="true" hidden="false"/>
    </xf>
    <xf numFmtId="172" fontId="43" fillId="0" borderId="0" xfId="0" applyFont="true" applyBorder="true" applyAlignment="true" applyProtection="false">
      <alignment horizontal="center" vertical="center" textRotation="0" wrapText="true" indent="0" shrinkToFit="false"/>
      <protection locked="true" hidden="false"/>
    </xf>
    <xf numFmtId="165" fontId="24" fillId="0" borderId="0" xfId="0" applyFont="true" applyBorder="true" applyAlignment="true" applyProtection="false">
      <alignment horizontal="center" vertical="center" textRotation="0" wrapText="true" indent="0" shrinkToFit="false"/>
      <protection locked="true" hidden="false"/>
    </xf>
    <xf numFmtId="165" fontId="44" fillId="0" borderId="0" xfId="0" applyFont="true" applyBorder="true" applyAlignment="true" applyProtection="false">
      <alignment horizontal="general" vertical="center" textRotation="0" wrapText="true" indent="0" shrinkToFit="false"/>
      <protection locked="true" hidden="false"/>
    </xf>
    <xf numFmtId="165" fontId="6" fillId="10" borderId="12" xfId="0" applyFont="true" applyBorder="true" applyAlignment="true" applyProtection="false">
      <alignment horizontal="left" vertical="center" textRotation="0" wrapText="true" indent="1" shrinkToFit="false"/>
      <protection locked="true" hidden="false"/>
    </xf>
    <xf numFmtId="173" fontId="0" fillId="0" borderId="7" xfId="0" applyFont="true" applyBorder="true" applyAlignment="true" applyProtection="false">
      <alignment horizontal="left" vertical="center" textRotation="0" wrapText="true" indent="1" shrinkToFit="false"/>
      <protection locked="true" hidden="false"/>
    </xf>
    <xf numFmtId="164" fontId="22" fillId="0" borderId="0" xfId="0" applyFont="true" applyBorder="true" applyAlignment="true" applyProtection="false">
      <alignment horizontal="left" vertical="center" textRotation="0" wrapText="true" indent="0" shrinkToFit="false"/>
      <protection locked="true" hidden="false"/>
    </xf>
    <xf numFmtId="164" fontId="31" fillId="9" borderId="0" xfId="0" applyFont="true" applyBorder="true" applyAlignment="true" applyProtection="false">
      <alignment horizontal="center" vertical="center" textRotation="0" wrapText="true" indent="0" shrinkToFit="false"/>
      <protection locked="true" hidden="false"/>
    </xf>
    <xf numFmtId="165" fontId="6" fillId="0" borderId="0" xfId="0" applyFont="true" applyBorder="true" applyAlignment="true" applyProtection="false">
      <alignment horizontal="left" vertical="center" textRotation="0" wrapText="true" indent="4" shrinkToFit="false"/>
      <protection locked="true" hidden="false"/>
    </xf>
    <xf numFmtId="165" fontId="6" fillId="0" borderId="0" xfId="0" applyFont="true" applyBorder="true" applyAlignment="true" applyProtection="false">
      <alignment horizontal="left" vertical="center" textRotation="0" wrapText="true" indent="1" shrinkToFit="false"/>
      <protection locked="true" hidden="false"/>
    </xf>
    <xf numFmtId="165" fontId="0" fillId="0" borderId="0" xfId="0" applyFont="true" applyBorder="true" applyAlignment="true" applyProtection="false">
      <alignment horizontal="center" vertical="center" textRotation="0" wrapText="true" indent="0" shrinkToFit="false"/>
      <protection locked="true" hidden="false"/>
    </xf>
    <xf numFmtId="164" fontId="6" fillId="9" borderId="0" xfId="0" applyFont="true" applyBorder="true" applyAlignment="true" applyProtection="false">
      <alignment horizontal="right" vertical="center" textRotation="0" wrapText="true" indent="1" shrinkToFit="false"/>
      <protection locked="true" hidden="false"/>
    </xf>
    <xf numFmtId="164" fontId="24" fillId="0" borderId="0"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true" applyAlignment="true" applyProtection="false">
      <alignment horizontal="center" vertical="center" textRotation="0" wrapText="true" indent="0" shrinkToFit="false"/>
      <protection locked="true" hidden="false"/>
    </xf>
    <xf numFmtId="164" fontId="0" fillId="9" borderId="0" xfId="0" applyFont="true" applyBorder="true" applyAlignment="true" applyProtection="false">
      <alignment horizontal="right" vertical="center" textRotation="0" wrapText="true" indent="1" shrinkToFit="false"/>
      <protection locked="true" hidden="false"/>
    </xf>
    <xf numFmtId="165" fontId="32" fillId="0" borderId="0" xfId="0" applyFont="true" applyBorder="true" applyAlignment="true" applyProtection="false">
      <alignment horizontal="general" vertical="top" textRotation="0" wrapText="true" indent="0" shrinkToFit="false"/>
      <protection locked="true" hidden="false"/>
    </xf>
    <xf numFmtId="165" fontId="46" fillId="0" borderId="0" xfId="0" applyFont="true" applyBorder="true" applyAlignment="true" applyProtection="false">
      <alignment horizontal="center" vertical="center" textRotation="0" wrapText="true" indent="0" shrinkToFit="false"/>
      <protection locked="true" hidden="false"/>
    </xf>
    <xf numFmtId="165" fontId="26" fillId="0" borderId="0" xfId="0" applyFont="true" applyBorder="true" applyAlignment="true" applyProtection="false">
      <alignment horizontal="general" vertical="center" textRotation="0" wrapText="false" indent="0" shrinkToFit="false"/>
      <protection locked="true" hidden="false"/>
    </xf>
    <xf numFmtId="165" fontId="47" fillId="0" borderId="0" xfId="0" applyFont="true" applyBorder="true" applyAlignment="true" applyProtection="false">
      <alignment horizontal="general" vertical="center" textRotation="0" wrapText="false" indent="0" shrinkToFit="false"/>
      <protection locked="true" hidden="false"/>
    </xf>
    <xf numFmtId="165" fontId="48" fillId="0" borderId="0" xfId="0" applyFont="true" applyBorder="true" applyAlignment="true" applyProtection="false">
      <alignment horizontal="general" vertical="center" textRotation="0" wrapText="true" indent="0" shrinkToFit="false"/>
      <protection locked="true" hidden="false"/>
    </xf>
    <xf numFmtId="165" fontId="26" fillId="0" borderId="0" xfId="0" applyFont="true" applyBorder="true" applyAlignment="true" applyProtection="false">
      <alignment horizontal="center" vertical="center" textRotation="0" wrapText="true" indent="0" shrinkToFit="false"/>
      <protection locked="true" hidden="false"/>
    </xf>
    <xf numFmtId="165" fontId="26" fillId="0" borderId="0" xfId="0" applyFont="true" applyBorder="true" applyAlignment="true" applyProtection="false">
      <alignment horizontal="left" vertical="center" textRotation="0" wrapText="false" indent="1" shrinkToFit="false"/>
      <protection locked="true" hidden="false"/>
    </xf>
    <xf numFmtId="165" fontId="26" fillId="0" borderId="0" xfId="0" applyFont="true" applyBorder="true" applyAlignment="true" applyProtection="false">
      <alignment horizontal="left" vertical="center" textRotation="0" wrapText="true" indent="1" shrinkToFit="false"/>
      <protection locked="true" hidden="false"/>
    </xf>
    <xf numFmtId="165" fontId="24" fillId="0" borderId="0" xfId="0" applyFont="true" applyBorder="true" applyAlignment="true" applyProtection="false">
      <alignment horizontal="left" vertical="center" textRotation="0" wrapText="true" indent="1" shrinkToFit="false"/>
      <protection locked="true" hidden="false"/>
    </xf>
    <xf numFmtId="165" fontId="49" fillId="0" borderId="0" xfId="0" applyFont="true" applyBorder="true" applyAlignment="true" applyProtection="false">
      <alignment horizontal="left" vertical="center" textRotation="0" wrapText="true" indent="1" shrinkToFit="false"/>
      <protection locked="true" hidden="false"/>
    </xf>
    <xf numFmtId="165" fontId="50" fillId="0" borderId="0" xfId="0" applyFont="true" applyBorder="true" applyAlignment="true" applyProtection="false">
      <alignment horizontal="left" vertical="center" textRotation="0" wrapText="false" indent="1" shrinkToFit="false"/>
      <protection locked="true" hidden="false"/>
    </xf>
    <xf numFmtId="165" fontId="49"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right" vertical="center" textRotation="0" wrapText="true" indent="0" shrinkToFit="false"/>
      <protection locked="true" hidden="false"/>
    </xf>
    <xf numFmtId="165" fontId="51" fillId="0" borderId="0" xfId="0" applyFont="true" applyBorder="true" applyAlignment="true" applyProtection="false">
      <alignment horizontal="general" vertical="center" textRotation="0" wrapText="true" indent="0" shrinkToFit="false"/>
      <protection locked="true" hidden="false"/>
    </xf>
    <xf numFmtId="171" fontId="6" fillId="0" borderId="10" xfId="0" applyFont="true" applyBorder="true" applyAlignment="true" applyProtection="false">
      <alignment horizontal="left" vertical="center" textRotation="0" wrapText="true" indent="1" shrinkToFit="false"/>
      <protection locked="true" hidden="false"/>
    </xf>
    <xf numFmtId="174" fontId="6" fillId="0" borderId="0" xfId="0" applyFont="true" applyBorder="true" applyAlignment="true" applyProtection="false">
      <alignment horizontal="right" vertical="center" textRotation="0" wrapText="true" indent="0" shrinkToFit="false"/>
      <protection locked="true" hidden="false"/>
    </xf>
    <xf numFmtId="164" fontId="6" fillId="0" borderId="0" xfId="0" applyFont="true" applyBorder="true" applyAlignment="true" applyProtection="false">
      <alignment horizontal="general" vertical="top" textRotation="0" wrapText="false" indent="0" shrinkToFit="false"/>
      <protection locked="true" hidden="false"/>
    </xf>
    <xf numFmtId="174" fontId="6" fillId="0" borderId="0" xfId="0" applyFont="true" applyBorder="true" applyAlignment="true" applyProtection="false">
      <alignment horizontal="center" vertical="center" textRotation="0" wrapText="true" indent="0" shrinkToFit="false"/>
      <protection locked="true" hidden="false"/>
    </xf>
    <xf numFmtId="165" fontId="6" fillId="0" borderId="12" xfId="0" applyFont="true" applyBorder="true" applyAlignment="true" applyProtection="false">
      <alignment horizontal="center" vertical="center" textRotation="0" wrapText="true" indent="0" shrinkToFit="false"/>
      <protection locked="true" hidden="false"/>
    </xf>
    <xf numFmtId="174" fontId="6" fillId="0" borderId="12" xfId="0" applyFont="true" applyBorder="true" applyAlignment="true" applyProtection="false">
      <alignment horizontal="center" vertical="center" textRotation="0" wrapText="true" indent="0" shrinkToFit="false"/>
      <protection locked="true" hidden="false"/>
    </xf>
    <xf numFmtId="175" fontId="6" fillId="0" borderId="13" xfId="0" applyFont="true" applyBorder="true" applyAlignment="true" applyProtection="false">
      <alignment horizontal="center" vertical="center" textRotation="0" wrapText="true" indent="0" shrinkToFit="false"/>
      <protection locked="true" hidden="false"/>
    </xf>
    <xf numFmtId="175" fontId="6" fillId="0" borderId="12" xfId="0" applyFont="true" applyBorder="true" applyAlignment="true" applyProtection="false">
      <alignment horizontal="center" vertical="center" textRotation="0" wrapText="true" indent="0" shrinkToFit="false"/>
      <protection locked="true" hidden="false"/>
    </xf>
    <xf numFmtId="165" fontId="52" fillId="0" borderId="0" xfId="0" applyFont="true" applyBorder="true" applyAlignment="true" applyProtection="false">
      <alignment horizontal="center" vertical="center" textRotation="0" wrapText="true" indent="0" shrinkToFit="false"/>
      <protection locked="true" hidden="false"/>
    </xf>
    <xf numFmtId="164" fontId="52" fillId="0" borderId="10" xfId="0" applyFont="true" applyBorder="true" applyAlignment="true" applyProtection="false">
      <alignment horizontal="center" vertical="center" textRotation="0" wrapText="true" indent="0" shrinkToFit="false"/>
      <protection locked="true" hidden="false"/>
    </xf>
    <xf numFmtId="165" fontId="24" fillId="0" borderId="0" xfId="0" applyFont="true" applyBorder="true" applyAlignment="true" applyProtection="false">
      <alignment horizontal="general" vertical="center" textRotation="0" wrapText="false" indent="0" shrinkToFit="false"/>
      <protection locked="true" hidden="false"/>
    </xf>
    <xf numFmtId="165" fontId="53" fillId="0" borderId="0" xfId="0" applyFont="true" applyBorder="true" applyAlignment="true" applyProtection="false">
      <alignment horizontal="general" vertical="center" textRotation="0" wrapText="false" indent="0" shrinkToFit="false"/>
      <protection locked="true" hidden="false"/>
    </xf>
    <xf numFmtId="164" fontId="6" fillId="11" borderId="14" xfId="0" applyFont="true" applyBorder="true" applyAlignment="true" applyProtection="false">
      <alignment horizontal="center" vertical="center" textRotation="0" wrapText="true" indent="0" shrinkToFit="false"/>
      <protection locked="true" hidden="false"/>
    </xf>
    <xf numFmtId="164" fontId="24" fillId="11" borderId="14" xfId="0" applyFont="true" applyBorder="true" applyAlignment="true" applyProtection="false">
      <alignment horizontal="left" vertical="center" textRotation="0" wrapText="true" indent="0" shrinkToFit="false"/>
      <protection locked="true" hidden="false"/>
    </xf>
    <xf numFmtId="164" fontId="24" fillId="11" borderId="15" xfId="0" applyFont="true" applyBorder="true" applyAlignment="true" applyProtection="false">
      <alignment horizontal="left" vertical="center" textRotation="0" wrapText="true" indent="0" shrinkToFit="false"/>
      <protection locked="true" hidden="false"/>
    </xf>
    <xf numFmtId="165" fontId="26" fillId="0" borderId="16" xfId="0" applyFont="true" applyBorder="true" applyAlignment="true" applyProtection="false">
      <alignment horizontal="general" vertical="center" textRotation="0" wrapText="false" indent="0" shrinkToFit="false"/>
      <protection locked="true" hidden="false"/>
    </xf>
    <xf numFmtId="171" fontId="6" fillId="0" borderId="12" xfId="0" applyFont="true" applyBorder="true" applyAlignment="true" applyProtection="false">
      <alignment horizontal="center" vertical="center" textRotation="0" wrapText="true" indent="0" shrinkToFit="false"/>
      <protection locked="true" hidden="false"/>
    </xf>
    <xf numFmtId="165" fontId="26" fillId="0" borderId="12" xfId="0" applyFont="true" applyBorder="true" applyAlignment="true" applyProtection="false">
      <alignment horizontal="center" vertical="center" textRotation="0" wrapText="true" indent="0" shrinkToFit="false"/>
      <protection locked="true" hidden="false"/>
    </xf>
    <xf numFmtId="164" fontId="6" fillId="8" borderId="12" xfId="0" applyFont="true" applyBorder="true" applyAlignment="true" applyProtection="true">
      <alignment horizontal="general" vertical="center" textRotation="0" wrapText="true" indent="0" shrinkToFit="false"/>
      <protection locked="false" hidden="false"/>
    </xf>
    <xf numFmtId="164" fontId="24" fillId="0" borderId="12" xfId="0" applyFont="true" applyBorder="true" applyAlignment="true" applyProtection="false">
      <alignment horizontal="left" vertical="center" textRotation="0" wrapText="true" indent="0" shrinkToFit="false"/>
      <protection locked="true" hidden="false"/>
    </xf>
    <xf numFmtId="165" fontId="52" fillId="0" borderId="17" xfId="0" applyFont="true" applyBorder="true" applyAlignment="true" applyProtection="false">
      <alignment horizontal="general" vertical="top" textRotation="0" wrapText="true" indent="0" shrinkToFit="false"/>
      <protection locked="true" hidden="false"/>
    </xf>
    <xf numFmtId="171" fontId="6" fillId="0" borderId="18" xfId="0" applyFont="true" applyBorder="true" applyAlignment="true" applyProtection="false">
      <alignment horizontal="center" vertical="center" textRotation="0" wrapText="true" indent="0" shrinkToFit="false"/>
      <protection locked="true" hidden="false"/>
    </xf>
    <xf numFmtId="165" fontId="26" fillId="0" borderId="18" xfId="0" applyFont="true" applyBorder="true" applyAlignment="true" applyProtection="false">
      <alignment horizontal="center" vertical="center" textRotation="0" wrapText="true" indent="0" shrinkToFit="false"/>
      <protection locked="true" hidden="false"/>
    </xf>
    <xf numFmtId="172" fontId="6" fillId="10" borderId="18" xfId="0" applyFont="true" applyBorder="true" applyAlignment="true" applyProtection="false">
      <alignment horizontal="left" vertical="center" textRotation="0" wrapText="true" indent="1" shrinkToFit="false"/>
      <protection locked="true" hidden="false"/>
    </xf>
    <xf numFmtId="164" fontId="6" fillId="7" borderId="18" xfId="0" applyFont="true" applyBorder="true" applyAlignment="true" applyProtection="false">
      <alignment horizontal="center" vertical="center" textRotation="0" wrapText="true" indent="0" shrinkToFit="false"/>
      <protection locked="true" hidden="false"/>
    </xf>
    <xf numFmtId="165" fontId="54" fillId="0" borderId="0" xfId="0" applyFont="true" applyBorder="true" applyAlignment="true" applyProtection="false">
      <alignment horizontal="general" vertical="center"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general" vertical="center" textRotation="0" wrapText="true" indent="0" shrinkToFit="false"/>
      <protection locked="true" hidden="false"/>
    </xf>
    <xf numFmtId="165" fontId="52" fillId="0" borderId="0" xfId="0" applyFont="true" applyBorder="true" applyAlignment="true" applyProtection="false">
      <alignment horizontal="general" vertical="top" textRotation="0" wrapText="true" indent="0" shrinkToFit="false"/>
      <protection locked="true" hidden="false"/>
    </xf>
    <xf numFmtId="164" fontId="32" fillId="11" borderId="13" xfId="0" applyFont="true" applyBorder="true" applyAlignment="true" applyProtection="false">
      <alignment horizontal="right" vertical="center" textRotation="0" wrapText="true" indent="0" shrinkToFit="false"/>
      <protection locked="true" hidden="false"/>
    </xf>
    <xf numFmtId="164" fontId="32" fillId="11" borderId="10" xfId="0" applyFont="true" applyBorder="true" applyAlignment="true" applyProtection="false">
      <alignment horizontal="right" vertical="center" textRotation="0" wrapText="true" indent="0" shrinkToFit="false"/>
      <protection locked="true" hidden="false"/>
    </xf>
    <xf numFmtId="164" fontId="55" fillId="11" borderId="10" xfId="0" applyFont="true" applyBorder="true" applyAlignment="true" applyProtection="false">
      <alignment horizontal="left" vertical="center" textRotation="0" wrapText="false" indent="1" shrinkToFit="false"/>
      <protection locked="true" hidden="false"/>
    </xf>
    <xf numFmtId="164" fontId="0" fillId="11" borderId="10" xfId="0" applyFont="true" applyBorder="true" applyAlignment="true" applyProtection="false">
      <alignment horizontal="right" vertical="center" textRotation="0" wrapText="true" indent="0" shrinkToFit="false"/>
      <protection locked="true" hidden="false"/>
    </xf>
    <xf numFmtId="164" fontId="0" fillId="11" borderId="19" xfId="0" applyFont="true" applyBorder="true" applyAlignment="true" applyProtection="false">
      <alignment horizontal="right" vertical="center" textRotation="0" wrapText="true" indent="0" shrinkToFit="false"/>
      <protection locked="true" hidden="false"/>
    </xf>
    <xf numFmtId="164" fontId="6" fillId="11" borderId="13" xfId="0" applyFont="true" applyBorder="true" applyAlignment="true" applyProtection="false">
      <alignment horizontal="right" vertical="center" textRotation="0" wrapText="true" indent="0" shrinkToFit="false"/>
      <protection locked="true" hidden="false"/>
    </xf>
    <xf numFmtId="164" fontId="6" fillId="11" borderId="10" xfId="0" applyFont="true" applyBorder="true" applyAlignment="true" applyProtection="false">
      <alignment horizontal="right" vertical="center" textRotation="0" wrapText="true" indent="0" shrinkToFit="false"/>
      <protection locked="true" hidden="false"/>
    </xf>
    <xf numFmtId="164" fontId="55" fillId="11" borderId="10" xfId="0" applyFont="true" applyBorder="true" applyAlignment="true" applyProtection="false">
      <alignment horizontal="left" vertical="center" textRotation="0" wrapText="false" indent="0" shrinkToFit="false"/>
      <protection locked="true" hidden="false"/>
    </xf>
    <xf numFmtId="164" fontId="6" fillId="11" borderId="19" xfId="0" applyFont="true" applyBorder="true" applyAlignment="true" applyProtection="false">
      <alignment horizontal="right" vertical="center" textRotation="0" wrapText="true" indent="0" shrinkToFit="false"/>
      <protection locked="true" hidden="false"/>
    </xf>
    <xf numFmtId="165" fontId="6" fillId="0" borderId="20" xfId="0" applyFont="true" applyBorder="true" applyAlignment="true" applyProtection="false">
      <alignment horizontal="general" vertical="center" textRotation="0" wrapText="true" indent="0" shrinkToFit="false"/>
      <protection locked="true" hidden="false"/>
    </xf>
    <xf numFmtId="165" fontId="56" fillId="0" borderId="0" xfId="0" applyFont="true" applyBorder="true" applyAlignment="true" applyProtection="false">
      <alignment horizontal="general" vertical="center" textRotation="0" wrapText="true" indent="0" shrinkToFit="false"/>
      <protection locked="true" hidden="false"/>
    </xf>
    <xf numFmtId="165" fontId="57" fillId="0" borderId="0" xfId="0" applyFont="true" applyBorder="true" applyAlignment="true" applyProtection="false">
      <alignment horizontal="general" vertical="center" textRotation="0" wrapText="true" indent="0" shrinkToFit="false"/>
      <protection locked="true" hidden="false"/>
    </xf>
    <xf numFmtId="165" fontId="58" fillId="0" borderId="0" xfId="0" applyFont="true" applyBorder="true" applyAlignment="true" applyProtection="false">
      <alignment horizontal="center" vertical="center" textRotation="0" wrapText="true" indent="0" shrinkToFit="false"/>
      <protection locked="true" hidden="false"/>
    </xf>
    <xf numFmtId="164" fontId="0" fillId="0" borderId="0" xfId="46" applyFont="true" applyBorder="true" applyAlignment="tru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general" vertical="center" textRotation="0" wrapText="false" indent="0" shrinkToFit="false"/>
      <protection locked="true" hidden="false"/>
    </xf>
    <xf numFmtId="171" fontId="6" fillId="0" borderId="14" xfId="0" applyFont="true" applyBorder="true" applyAlignment="true" applyProtection="false">
      <alignment horizontal="left" vertical="center" textRotation="0" wrapText="true" indent="1" shrinkToFit="false"/>
      <protection locked="true" hidden="false"/>
    </xf>
    <xf numFmtId="171" fontId="6" fillId="0" borderId="21" xfId="0" applyFont="true" applyBorder="true" applyAlignment="true" applyProtection="false">
      <alignment horizontal="left" vertical="center" textRotation="0" wrapText="false" indent="1" shrinkToFit="false"/>
      <protection locked="true" hidden="false"/>
    </xf>
    <xf numFmtId="165" fontId="59" fillId="0" borderId="0" xfId="0" applyFont="true" applyBorder="true" applyAlignment="true" applyProtection="false">
      <alignment horizontal="general" vertical="center" textRotation="0" wrapText="false" indent="0" shrinkToFit="false"/>
      <protection locked="true" hidden="false"/>
    </xf>
    <xf numFmtId="165" fontId="60" fillId="0" borderId="0" xfId="0" applyFont="true" applyBorder="true" applyAlignment="true" applyProtection="false">
      <alignment horizontal="general" vertical="center" textRotation="0" wrapText="false" indent="0" shrinkToFit="false"/>
      <protection locked="true" hidden="false"/>
    </xf>
    <xf numFmtId="165" fontId="61" fillId="0" borderId="0" xfId="0" applyFont="true" applyBorder="true" applyAlignment="true" applyProtection="false">
      <alignment horizontal="general" vertical="center" textRotation="0" wrapText="false" indent="0" shrinkToFit="false"/>
      <protection locked="true" hidden="false"/>
    </xf>
    <xf numFmtId="165" fontId="62" fillId="0" borderId="0" xfId="0" applyFont="true" applyBorder="true" applyAlignment="true" applyProtection="false">
      <alignment horizontal="general" vertical="center" textRotation="0" wrapText="false" indent="0" shrinkToFit="false"/>
      <protection locked="true" hidden="false"/>
    </xf>
    <xf numFmtId="171" fontId="0" fillId="0" borderId="0" xfId="0" applyFont="true" applyBorder="true" applyAlignment="true" applyProtection="false">
      <alignment horizontal="left" vertical="center" textRotation="0" wrapText="true" indent="2" shrinkToFit="false"/>
      <protection locked="true" hidden="false"/>
    </xf>
    <xf numFmtId="165" fontId="63" fillId="0" borderId="0" xfId="0" applyFont="true" applyBorder="true" applyAlignment="true" applyProtection="false">
      <alignment horizontal="general" vertical="center" textRotation="0" wrapText="false" indent="0" shrinkToFit="false"/>
      <protection locked="true" hidden="false"/>
    </xf>
    <xf numFmtId="165" fontId="64" fillId="0" borderId="22" xfId="0" applyFont="true" applyBorder="true" applyAlignment="true" applyProtection="false">
      <alignment horizontal="center" vertical="center" textRotation="0" wrapText="true" indent="0" shrinkToFit="false"/>
      <protection locked="true" hidden="false"/>
    </xf>
    <xf numFmtId="165" fontId="64" fillId="0" borderId="12" xfId="0" applyFont="true" applyBorder="true" applyAlignment="true" applyProtection="false">
      <alignment horizontal="center" vertical="center" textRotation="0" wrapText="true" indent="0" shrinkToFit="false"/>
      <protection locked="true" hidden="false"/>
    </xf>
    <xf numFmtId="165" fontId="65" fillId="0" borderId="0" xfId="0" applyFont="true" applyBorder="true" applyAlignment="true" applyProtection="false">
      <alignment horizontal="center" vertical="center" textRotation="0" wrapText="true" indent="0" shrinkToFit="false"/>
      <protection locked="true" hidden="false"/>
    </xf>
    <xf numFmtId="165" fontId="6" fillId="0" borderId="7" xfId="0" applyFont="true" applyBorder="true" applyAlignment="true" applyProtection="false">
      <alignment horizontal="center" vertical="center" textRotation="0" wrapText="true" indent="0" shrinkToFit="false"/>
      <protection locked="true" hidden="false"/>
    </xf>
    <xf numFmtId="165" fontId="24" fillId="0" borderId="16" xfId="0" applyFont="true" applyBorder="true" applyAlignment="true" applyProtection="false">
      <alignment horizontal="general" vertical="center" textRotation="0" wrapText="false" indent="0" shrinkToFit="false"/>
      <protection locked="true" hidden="false"/>
    </xf>
    <xf numFmtId="164" fontId="52" fillId="0" borderId="0" xfId="0" applyFont="true" applyBorder="true" applyAlignment="true" applyProtection="false">
      <alignment horizontal="center" vertical="center" textRotation="0" wrapText="true" indent="0" shrinkToFit="false"/>
      <protection locked="true" hidden="false"/>
    </xf>
    <xf numFmtId="164" fontId="52" fillId="0" borderId="12" xfId="0" applyFont="true" applyBorder="true" applyAlignment="true" applyProtection="false">
      <alignment horizontal="center" vertical="center" textRotation="0" wrapText="true" indent="0" shrinkToFit="false"/>
      <protection locked="true" hidden="false"/>
    </xf>
    <xf numFmtId="164" fontId="52" fillId="0" borderId="23" xfId="0" applyFont="true" applyBorder="true" applyAlignment="true" applyProtection="false">
      <alignment horizontal="center" vertical="center" textRotation="0" wrapText="true" indent="0" shrinkToFit="false"/>
      <protection locked="true" hidden="false"/>
    </xf>
    <xf numFmtId="165" fontId="26" fillId="0" borderId="0" xfId="0" applyFont="true" applyBorder="true" applyAlignment="true" applyProtection="false">
      <alignment horizontal="center" vertical="center" textRotation="0" wrapText="false" indent="0" shrinkToFit="false"/>
      <protection locked="true" hidden="false"/>
    </xf>
    <xf numFmtId="165" fontId="6" fillId="11" borderId="13" xfId="0" applyFont="true" applyBorder="true" applyAlignment="true" applyProtection="false">
      <alignment horizontal="center" vertical="center" textRotation="0" wrapText="true" indent="0" shrinkToFit="false"/>
      <protection locked="true" hidden="false"/>
    </xf>
    <xf numFmtId="164" fontId="6" fillId="11" borderId="10" xfId="0" applyFont="true" applyBorder="true" applyAlignment="true" applyProtection="false">
      <alignment horizontal="center" vertical="center" textRotation="0" wrapText="true" indent="0" shrinkToFit="false"/>
      <protection locked="true" hidden="false"/>
    </xf>
    <xf numFmtId="164" fontId="6" fillId="11" borderId="24" xfId="0" applyFont="true" applyBorder="true" applyAlignment="true" applyProtection="false">
      <alignment horizontal="center" vertical="center" textRotation="0" wrapText="true" indent="0" shrinkToFit="false"/>
      <protection locked="true" hidden="false"/>
    </xf>
    <xf numFmtId="164" fontId="0" fillId="11" borderId="10" xfId="0" applyFont="true" applyBorder="true" applyAlignment="true" applyProtection="false">
      <alignment horizontal="left" vertical="center" textRotation="0" wrapText="false" indent="0" shrinkToFit="false"/>
      <protection locked="true" hidden="false"/>
    </xf>
    <xf numFmtId="165" fontId="0" fillId="11" borderId="19" xfId="0" applyFont="true" applyBorder="true" applyAlignment="true" applyProtection="false">
      <alignment horizontal="general" vertical="center" textRotation="0" wrapText="false" indent="0" shrinkToFit="false"/>
      <protection locked="true" hidden="false"/>
    </xf>
    <xf numFmtId="164" fontId="6" fillId="0" borderId="12" xfId="0" applyFont="true" applyBorder="true" applyAlignment="true" applyProtection="false">
      <alignment horizontal="center" vertical="center" textRotation="0" wrapText="true" indent="0" shrinkToFit="false"/>
      <protection locked="true" hidden="false"/>
    </xf>
    <xf numFmtId="171" fontId="6" fillId="10" borderId="12" xfId="0" applyFont="true" applyBorder="true" applyAlignment="true" applyProtection="false">
      <alignment horizontal="left" vertical="center" textRotation="0" wrapText="true" indent="2" shrinkToFit="false"/>
      <protection locked="true" hidden="false"/>
    </xf>
    <xf numFmtId="164" fontId="6" fillId="10" borderId="18" xfId="0" applyFont="true" applyBorder="true" applyAlignment="true" applyProtection="false">
      <alignment horizontal="center" vertical="center" textRotation="0" wrapText="true" indent="0" shrinkToFit="false"/>
      <protection locked="true" hidden="false"/>
    </xf>
    <xf numFmtId="172" fontId="66" fillId="0" borderId="23" xfId="0" applyFont="true" applyBorder="true" applyAlignment="true" applyProtection="false">
      <alignment horizontal="center" vertical="center" textRotation="0" wrapText="true" indent="0" shrinkToFit="false"/>
      <protection locked="true" hidden="false"/>
    </xf>
    <xf numFmtId="165" fontId="6" fillId="0" borderId="23" xfId="0" applyFont="true" applyBorder="true" applyAlignment="true" applyProtection="false">
      <alignment horizontal="center" vertical="center" textRotation="0" wrapText="true" indent="0" shrinkToFit="false"/>
      <protection locked="true" hidden="false"/>
    </xf>
    <xf numFmtId="171" fontId="6" fillId="10" borderId="12" xfId="0" applyFont="true" applyBorder="true" applyAlignment="true" applyProtection="false">
      <alignment horizontal="left" vertical="center" textRotation="0" wrapText="true" indent="1" shrinkToFit="false"/>
      <protection locked="true" hidden="false"/>
    </xf>
    <xf numFmtId="164" fontId="6" fillId="10" borderId="12" xfId="0" applyFont="true" applyBorder="true" applyAlignment="true" applyProtection="false">
      <alignment horizontal="center" vertical="center" textRotation="0" wrapText="true" indent="0" shrinkToFit="false"/>
      <protection locked="true" hidden="false"/>
    </xf>
    <xf numFmtId="164" fontId="6" fillId="0" borderId="25" xfId="0" applyFont="true" applyBorder="true" applyAlignment="true" applyProtection="false">
      <alignment horizontal="center" vertical="center" textRotation="0" wrapText="true" indent="0" shrinkToFit="false"/>
      <protection locked="true" hidden="false"/>
    </xf>
    <xf numFmtId="164" fontId="64" fillId="0" borderId="12" xfId="0" applyFont="true" applyBorder="true" applyAlignment="true" applyProtection="false">
      <alignment horizontal="left" vertical="center" textRotation="0" wrapText="true" indent="1" shrinkToFit="false"/>
      <protection locked="true" hidden="false"/>
    </xf>
    <xf numFmtId="164" fontId="55" fillId="11" borderId="19" xfId="0" applyFont="true" applyBorder="true" applyAlignment="true" applyProtection="false">
      <alignment horizontal="left" vertical="center" textRotation="0" wrapText="false" indent="1" shrinkToFit="false"/>
      <protection locked="true" hidden="false"/>
    </xf>
    <xf numFmtId="164" fontId="32" fillId="11" borderId="26" xfId="0" applyFont="true" applyBorder="true" applyAlignment="true" applyProtection="false">
      <alignment horizontal="right" vertical="center" textRotation="0" wrapText="true" indent="0" shrinkToFit="false"/>
      <protection locked="true" hidden="false"/>
    </xf>
    <xf numFmtId="164" fontId="32" fillId="11" borderId="27" xfId="0" applyFont="true" applyBorder="true" applyAlignment="true" applyProtection="false">
      <alignment horizontal="right" vertical="center" textRotation="0" wrapText="true" indent="0" shrinkToFit="false"/>
      <protection locked="true" hidden="false"/>
    </xf>
    <xf numFmtId="164" fontId="32" fillId="11" borderId="19" xfId="0" applyFont="true" applyBorder="true" applyAlignment="true" applyProtection="false">
      <alignment horizontal="right" vertical="center" textRotation="0" wrapText="true" indent="0" shrinkToFit="false"/>
      <protection locked="true" hidden="false"/>
    </xf>
    <xf numFmtId="165" fontId="64" fillId="9" borderId="0" xfId="0" applyFont="true" applyBorder="true" applyAlignment="true" applyProtection="false">
      <alignment horizontal="general" vertical="top" textRotation="0" wrapText="false" indent="0" shrinkToFit="false"/>
      <protection locked="true" hidden="false"/>
    </xf>
    <xf numFmtId="164" fontId="55" fillId="11" borderId="10" xfId="0" applyFont="true" applyBorder="true" applyAlignment="true" applyProtection="false">
      <alignment horizontal="left" vertical="center" textRotation="0" wrapText="false" indent="2" shrinkToFit="false"/>
      <protection locked="true" hidden="false"/>
    </xf>
    <xf numFmtId="171" fontId="6" fillId="0" borderId="14" xfId="0" applyFont="true" applyBorder="true" applyAlignment="true" applyProtection="false">
      <alignment horizontal="left" vertical="top" textRotation="0" wrapText="true" indent="1" shrinkToFit="false"/>
      <protection locked="true" hidden="false"/>
    </xf>
    <xf numFmtId="165" fontId="67" fillId="0" borderId="0" xfId="0" applyFont="true" applyBorder="true" applyAlignment="true" applyProtection="false">
      <alignment horizontal="general" vertical="center" textRotation="0" wrapText="true" indent="0" shrinkToFit="false"/>
      <protection locked="true" hidden="false"/>
    </xf>
    <xf numFmtId="165" fontId="17" fillId="0" borderId="0" xfId="0" applyFont="true" applyBorder="true" applyAlignment="true" applyProtection="false">
      <alignment horizontal="general" vertical="center" textRotation="0" wrapText="true" indent="0" shrinkToFit="false"/>
      <protection locked="true" hidden="false"/>
    </xf>
    <xf numFmtId="165" fontId="68" fillId="0" borderId="0" xfId="0" applyFont="true" applyBorder="true" applyAlignment="true" applyProtection="false">
      <alignment horizontal="general" vertical="center" textRotation="0" wrapText="false" indent="0" shrinkToFit="false"/>
      <protection locked="true" hidden="false"/>
    </xf>
    <xf numFmtId="165" fontId="48" fillId="0" borderId="0" xfId="0" applyFont="true" applyBorder="true" applyAlignment="true" applyProtection="false">
      <alignment horizontal="left" vertical="center" textRotation="0" wrapText="true" indent="1" shrinkToFit="false"/>
      <protection locked="true" hidden="false"/>
    </xf>
    <xf numFmtId="165" fontId="0" fillId="0" borderId="12" xfId="0" applyFont="true" applyBorder="true" applyAlignment="true" applyProtection="false">
      <alignment horizontal="center" vertical="center" textRotation="0" wrapText="true" indent="0" shrinkToFit="false"/>
      <protection locked="true" hidden="false"/>
    </xf>
    <xf numFmtId="164" fontId="26" fillId="9" borderId="0" xfId="0" applyFont="true" applyBorder="true" applyAlignment="true" applyProtection="false">
      <alignment horizontal="center" vertical="center" textRotation="0" wrapText="true" indent="0" shrinkToFit="false"/>
      <protection locked="true" hidden="false"/>
    </xf>
    <xf numFmtId="164" fontId="26" fillId="9" borderId="21" xfId="0" applyFont="true" applyBorder="true" applyAlignment="true" applyProtection="false">
      <alignment horizontal="center" vertical="center" textRotation="0" wrapText="true" indent="0" shrinkToFit="false"/>
      <protection locked="true" hidden="false"/>
    </xf>
    <xf numFmtId="165" fontId="26" fillId="0" borderId="12" xfId="0" applyFont="true" applyBorder="true" applyAlignment="true" applyProtection="false">
      <alignment horizontal="center" vertical="center" textRotation="0" wrapText="false" indent="0" shrinkToFit="false"/>
      <protection locked="true" hidden="false"/>
    </xf>
    <xf numFmtId="165" fontId="0" fillId="0" borderId="12"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center" vertical="top" textRotation="0" wrapText="false" indent="0" shrinkToFit="false"/>
      <protection locked="true" hidden="false"/>
    </xf>
    <xf numFmtId="165" fontId="6" fillId="0" borderId="12" xfId="0" applyFont="true" applyBorder="true" applyAlignment="true" applyProtection="false">
      <alignment horizontal="left" vertical="top" textRotation="0" wrapText="true" indent="0" shrinkToFit="false"/>
      <protection locked="true" hidden="false"/>
    </xf>
    <xf numFmtId="165" fontId="6" fillId="10" borderId="12" xfId="0" applyFont="true" applyBorder="true" applyAlignment="true" applyProtection="false">
      <alignment horizontal="center" vertical="top" textRotation="0" wrapText="true" indent="0" shrinkToFit="false"/>
      <protection locked="true" hidden="false"/>
    </xf>
    <xf numFmtId="165" fontId="0" fillId="0" borderId="22" xfId="0" applyFont="true" applyBorder="true" applyAlignment="true" applyProtection="false">
      <alignment horizontal="center" vertical="center" textRotation="0" wrapText="false" indent="0" shrinkToFit="false"/>
      <protection locked="true" hidden="false"/>
    </xf>
    <xf numFmtId="165" fontId="0" fillId="0" borderId="14" xfId="0" applyFont="true" applyBorder="true" applyAlignment="true" applyProtection="false">
      <alignment horizontal="center" vertical="center" textRotation="0" wrapText="false" indent="0" shrinkToFit="false"/>
      <protection locked="true" hidden="false"/>
    </xf>
    <xf numFmtId="164" fontId="6" fillId="0" borderId="14" xfId="0" applyFont="true" applyBorder="true" applyAlignment="true" applyProtection="false">
      <alignment horizontal="left" vertical="center" textRotation="0" wrapText="true" indent="0" shrinkToFit="false"/>
      <protection locked="true" hidden="false"/>
    </xf>
    <xf numFmtId="164" fontId="6" fillId="0" borderId="14" xfId="0" applyFont="true" applyBorder="true" applyAlignment="true" applyProtection="false">
      <alignment horizontal="center" vertical="center" textRotation="0" wrapText="true" indent="0" shrinkToFit="false"/>
      <protection locked="true" hidden="false"/>
    </xf>
    <xf numFmtId="165" fontId="0" fillId="0" borderId="14" xfId="0" applyFont="true" applyBorder="true" applyAlignment="true" applyProtection="false">
      <alignment horizontal="left" vertical="center" textRotation="0" wrapText="true" indent="0" shrinkToFit="false"/>
      <protection locked="true" hidden="false"/>
    </xf>
    <xf numFmtId="164" fontId="0" fillId="0" borderId="14" xfId="0" applyFont="true" applyBorder="true" applyAlignment="true" applyProtection="false">
      <alignment horizontal="left" vertical="center" textRotation="0" wrapText="true" indent="0" shrinkToFit="false"/>
      <protection locked="true" hidden="false"/>
    </xf>
    <xf numFmtId="164" fontId="6" fillId="0" borderId="15" xfId="0" applyFont="true" applyBorder="true" applyAlignment="true" applyProtection="false">
      <alignment horizontal="left" vertical="center" textRotation="0" wrapText="true" indent="0" shrinkToFit="false"/>
      <protection locked="true" hidden="false"/>
    </xf>
    <xf numFmtId="165" fontId="6" fillId="0" borderId="0" xfId="0" applyFont="true" applyBorder="true" applyAlignment="true" applyProtection="false">
      <alignment horizontal="left" vertical="center" textRotation="0" wrapText="false" indent="1" shrinkToFit="false"/>
      <protection locked="true" hidden="false"/>
    </xf>
    <xf numFmtId="165" fontId="55" fillId="0" borderId="0" xfId="0" applyFont="true" applyBorder="true" applyAlignment="true" applyProtection="false">
      <alignment horizontal="left" vertical="center" textRotation="0" wrapText="false" indent="0" shrinkToFit="false"/>
      <protection locked="true" hidden="false"/>
    </xf>
    <xf numFmtId="165" fontId="55" fillId="0" borderId="17" xfId="0" applyFont="true" applyBorder="true" applyAlignment="true" applyProtection="false">
      <alignment horizontal="left" vertical="center" textRotation="0" wrapText="false" indent="0" shrinkToFit="false"/>
      <protection locked="true" hidden="false"/>
    </xf>
    <xf numFmtId="165" fontId="55" fillId="0" borderId="28" xfId="0" applyFont="true" applyBorder="true" applyAlignment="true" applyProtection="false">
      <alignment horizontal="left" vertical="center" textRotation="0" wrapText="false" indent="0" shrinkToFit="false"/>
      <protection locked="true" hidden="false"/>
    </xf>
    <xf numFmtId="165" fontId="55" fillId="0" borderId="21" xfId="0" applyFont="true" applyBorder="true" applyAlignment="true" applyProtection="false">
      <alignment horizontal="left" vertical="center" textRotation="0" wrapText="false" indent="0" shrinkToFit="false"/>
      <protection locked="true" hidden="false"/>
    </xf>
    <xf numFmtId="165" fontId="0" fillId="0" borderId="21" xfId="0" applyFont="true" applyBorder="true" applyAlignment="true" applyProtection="false">
      <alignment horizontal="general" vertical="center" textRotation="0" wrapText="false" indent="0" shrinkToFit="false"/>
      <protection locked="true" hidden="false"/>
    </xf>
    <xf numFmtId="165" fontId="55" fillId="0" borderId="29" xfId="0" applyFont="true" applyBorder="true" applyAlignment="true" applyProtection="false">
      <alignment horizontal="left" vertical="center" textRotation="0" wrapText="false" indent="0" shrinkToFit="false"/>
      <protection locked="true" hidden="false"/>
    </xf>
    <xf numFmtId="165" fontId="6" fillId="8" borderId="12" xfId="0" applyFont="true" applyBorder="true" applyAlignment="true" applyProtection="true">
      <alignment horizontal="left" vertical="top" textRotation="0" wrapText="true" indent="0" shrinkToFit="false"/>
      <protection locked="false" hidden="false"/>
    </xf>
    <xf numFmtId="164" fontId="6" fillId="0" borderId="0" xfId="0" applyFont="true" applyBorder="true" applyAlignment="true" applyProtection="false">
      <alignment horizontal="left" vertical="center" textRotation="0" wrapText="false" indent="1" shrinkToFit="false"/>
      <protection locked="true" hidden="false"/>
    </xf>
    <xf numFmtId="165" fontId="0" fillId="0" borderId="0" xfId="0" applyFont="true" applyBorder="true" applyAlignment="true" applyProtection="false">
      <alignment horizontal="left" vertical="top" textRotation="0" wrapText="true" indent="0" shrinkToFit="false"/>
      <protection locked="true" hidden="false"/>
    </xf>
    <xf numFmtId="165" fontId="0" fillId="0" borderId="0" xfId="0" applyFont="true" applyBorder="true" applyAlignment="true" applyProtection="false">
      <alignment horizontal="left" vertical="top" textRotation="0" wrapText="true" indent="1" shrinkToFit="false"/>
      <protection locked="true" hidden="false"/>
    </xf>
    <xf numFmtId="165" fontId="0" fillId="0" borderId="0" xfId="0" applyFont="true" applyBorder="true" applyAlignment="true" applyProtection="false">
      <alignment horizontal="general" vertical="top" textRotation="0" wrapText="true" indent="0" shrinkToFit="false"/>
      <protection locked="true" hidden="false"/>
    </xf>
    <xf numFmtId="164" fontId="22" fillId="0" borderId="0" xfId="0" applyFont="true" applyBorder="true" applyAlignment="true" applyProtection="false">
      <alignment horizontal="general" vertical="top" textRotation="0" wrapText="false" indent="0" shrinkToFit="false"/>
      <protection locked="true" hidden="false"/>
    </xf>
    <xf numFmtId="164" fontId="26" fillId="0"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center" vertical="center" textRotation="0" wrapText="false" indent="0" shrinkToFit="false"/>
      <protection locked="true" hidden="false"/>
    </xf>
    <xf numFmtId="164" fontId="68" fillId="0" borderId="0" xfId="0" applyFont="true" applyBorder="true" applyAlignment="true" applyProtection="false">
      <alignment horizontal="general" vertical="top" textRotation="0" wrapText="false" indent="0" shrinkToFit="false"/>
      <protection locked="true" hidden="false"/>
    </xf>
    <xf numFmtId="165" fontId="6" fillId="0" borderId="14" xfId="0" applyFont="true" applyBorder="true" applyAlignment="true" applyProtection="false">
      <alignment horizontal="left" vertical="center" textRotation="0" wrapText="true" indent="1" shrinkToFit="false"/>
      <protection locked="true" hidden="false"/>
    </xf>
    <xf numFmtId="165" fontId="17" fillId="0" borderId="0" xfId="0" applyFont="true" applyBorder="true" applyAlignment="true" applyProtection="false">
      <alignment horizontal="left" vertical="center" textRotation="0" wrapText="true" indent="1" shrinkToFit="false"/>
      <protection locked="true" hidden="false"/>
    </xf>
    <xf numFmtId="165" fontId="51" fillId="0" borderId="0" xfId="0" applyFont="true" applyBorder="true" applyAlignment="true" applyProtection="false">
      <alignment horizontal="general" vertical="center" textRotation="0" wrapText="false" indent="0" shrinkToFit="false"/>
      <protection locked="true" hidden="false"/>
    </xf>
    <xf numFmtId="165" fontId="69" fillId="0" borderId="0" xfId="0" applyFont="true" applyBorder="true" applyAlignment="true" applyProtection="false">
      <alignment horizontal="general" vertical="center" textRotation="0" wrapText="true" indent="0" shrinkToFit="false"/>
      <protection locked="true" hidden="false"/>
    </xf>
    <xf numFmtId="165" fontId="70" fillId="0" borderId="0" xfId="0" applyFont="true" applyBorder="true" applyAlignment="true" applyProtection="false">
      <alignment horizontal="general" vertical="center" textRotation="0" wrapText="true" indent="0" shrinkToFit="false"/>
      <protection locked="true" hidden="false"/>
    </xf>
    <xf numFmtId="171" fontId="6" fillId="0" borderId="21" xfId="0" applyFont="true" applyBorder="true" applyAlignment="true" applyProtection="false">
      <alignment horizontal="left" vertical="center" textRotation="0" wrapText="true" indent="1" shrinkToFit="false"/>
      <protection locked="true" hidden="false"/>
    </xf>
    <xf numFmtId="165" fontId="6" fillId="0" borderId="25" xfId="0" applyFont="true" applyBorder="true" applyAlignment="true" applyProtection="false">
      <alignment horizontal="center" vertical="center" textRotation="0" wrapText="true" indent="0" shrinkToFit="false"/>
      <protection locked="true" hidden="false"/>
    </xf>
    <xf numFmtId="165" fontId="6" fillId="0" borderId="30" xfId="0" applyFont="true" applyBorder="true" applyAlignment="true" applyProtection="false">
      <alignment horizontal="center" vertical="center" textRotation="0" wrapText="true" indent="0" shrinkToFit="false"/>
      <protection locked="true" hidden="false"/>
    </xf>
    <xf numFmtId="165" fontId="6" fillId="0" borderId="22" xfId="0" applyFont="true" applyBorder="true" applyAlignment="true" applyProtection="false">
      <alignment horizontal="center" vertical="center" textRotation="0" wrapText="true" indent="0" shrinkToFit="false"/>
      <protection locked="true" hidden="false"/>
    </xf>
    <xf numFmtId="165" fontId="6" fillId="0" borderId="13" xfId="0" applyFont="true" applyBorder="true" applyAlignment="true" applyProtection="false">
      <alignment horizontal="center" vertical="center" textRotation="0" wrapText="true" indent="0" shrinkToFit="false"/>
      <protection locked="true" hidden="false"/>
    </xf>
    <xf numFmtId="165" fontId="6" fillId="0" borderId="16" xfId="0" applyFont="true" applyBorder="true" applyAlignment="true" applyProtection="false">
      <alignment horizontal="center" vertical="center" textRotation="0" wrapText="true" indent="0" shrinkToFit="false"/>
      <protection locked="true" hidden="false"/>
    </xf>
    <xf numFmtId="164" fontId="6" fillId="0" borderId="25" xfId="0" applyFont="true" applyBorder="true" applyAlignment="true" applyProtection="false">
      <alignment horizontal="center" vertical="center" textRotation="0" wrapText="false" indent="0" shrinkToFit="false"/>
      <protection locked="true" hidden="false"/>
    </xf>
    <xf numFmtId="165" fontId="6" fillId="0" borderId="25" xfId="0" applyFont="true" applyBorder="true" applyAlignment="true" applyProtection="false">
      <alignment horizontal="left" vertical="center" textRotation="0" wrapText="true" indent="0" shrinkToFit="false"/>
      <protection locked="true" hidden="false"/>
    </xf>
    <xf numFmtId="164" fontId="6" fillId="0" borderId="22" xfId="0" applyFont="true" applyBorder="true" applyAlignment="true" applyProtection="false">
      <alignment horizontal="general" vertical="center" textRotation="0" wrapText="true" indent="0" shrinkToFit="false"/>
      <protection locked="true" hidden="false"/>
    </xf>
    <xf numFmtId="165" fontId="6" fillId="0" borderId="14" xfId="0" applyFont="true" applyBorder="true" applyAlignment="true" applyProtection="false">
      <alignment horizontal="center" vertical="center" textRotation="0" wrapText="false" indent="0" shrinkToFit="false"/>
      <protection locked="true" hidden="false"/>
    </xf>
    <xf numFmtId="164" fontId="6" fillId="0" borderId="14" xfId="0" applyFont="true" applyBorder="true" applyAlignment="true" applyProtection="false">
      <alignment horizontal="general" vertical="center" textRotation="0" wrapText="true" indent="0" shrinkToFit="false"/>
      <protection locked="true" hidden="false"/>
    </xf>
    <xf numFmtId="164" fontId="46" fillId="0" borderId="14" xfId="0" applyFont="true" applyBorder="true" applyAlignment="true" applyProtection="false">
      <alignment horizontal="general" vertical="center" textRotation="0" wrapText="true" indent="0" shrinkToFit="false"/>
      <protection locked="true" hidden="false"/>
    </xf>
    <xf numFmtId="165" fontId="6" fillId="0" borderId="14" xfId="0" applyFont="true" applyBorder="true" applyAlignment="true" applyProtection="false">
      <alignment horizontal="left" vertical="center" textRotation="0" wrapText="true" indent="0" shrinkToFit="false"/>
      <protection locked="true" hidden="false"/>
    </xf>
    <xf numFmtId="164" fontId="6" fillId="0" borderId="16"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left" vertical="center" textRotation="0" wrapText="true" indent="0" shrinkToFit="false"/>
      <protection locked="true" hidden="false"/>
    </xf>
    <xf numFmtId="164" fontId="46" fillId="0" borderId="0" xfId="0" applyFont="true" applyBorder="true" applyAlignment="true" applyProtection="false">
      <alignment horizontal="general" vertical="center" textRotation="0" wrapText="true" indent="0" shrinkToFit="false"/>
      <protection locked="true" hidden="false"/>
    </xf>
    <xf numFmtId="164" fontId="46" fillId="0" borderId="0" xfId="0" applyFont="true" applyBorder="true" applyAlignment="true" applyProtection="false">
      <alignment horizontal="center" vertical="center" textRotation="0" wrapText="true" indent="0" shrinkToFit="false"/>
      <protection locked="true" hidden="false"/>
    </xf>
    <xf numFmtId="165" fontId="55" fillId="0" borderId="0" xfId="0" applyFont="true" applyBorder="true" applyAlignment="true" applyProtection="false">
      <alignment horizontal="general" vertical="center" textRotation="0" wrapText="false" indent="0" shrinkToFit="false"/>
      <protection locked="true" hidden="false"/>
    </xf>
    <xf numFmtId="165" fontId="55" fillId="0" borderId="16" xfId="0" applyFont="true" applyBorder="true" applyAlignment="true" applyProtection="false">
      <alignment horizontal="left" vertical="center" textRotation="0" wrapText="false" indent="0" shrinkToFit="false"/>
      <protection locked="true" hidden="false"/>
    </xf>
    <xf numFmtId="164" fontId="68" fillId="0" borderId="28" xfId="0" applyFont="true" applyBorder="true" applyAlignment="true" applyProtection="false">
      <alignment horizontal="general" vertical="top" textRotation="0" wrapText="false" indent="0" shrinkToFit="false"/>
      <protection locked="true" hidden="false"/>
    </xf>
    <xf numFmtId="164" fontId="68" fillId="0" borderId="21" xfId="0" applyFont="true" applyBorder="true" applyAlignment="true" applyProtection="false">
      <alignment horizontal="general" vertical="top" textRotation="0" wrapText="false" indent="0" shrinkToFit="false"/>
      <protection locked="true" hidden="false"/>
    </xf>
    <xf numFmtId="164" fontId="6" fillId="0"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left" vertical="center" textRotation="0" wrapText="true" indent="0" shrinkToFit="false"/>
      <protection locked="true" hidden="false"/>
    </xf>
    <xf numFmtId="165" fontId="6" fillId="9" borderId="0" xfId="0" applyFont="true" applyBorder="true" applyAlignment="true" applyProtection="false">
      <alignment horizontal="general" vertical="bottom" textRotation="0" wrapText="false" indent="0" shrinkToFit="false"/>
      <protection locked="true" hidden="false"/>
    </xf>
    <xf numFmtId="165" fontId="26" fillId="9" borderId="0" xfId="0" applyFont="true" applyBorder="true" applyAlignment="true" applyProtection="false">
      <alignment horizontal="general" vertical="bottom" textRotation="0" wrapText="false" indent="0" shrinkToFit="false"/>
      <protection locked="true" hidden="false"/>
    </xf>
    <xf numFmtId="165" fontId="0" fillId="9" borderId="0" xfId="0" applyFont="true" applyBorder="true" applyAlignment="true" applyProtection="false">
      <alignment horizontal="general" vertical="bottom" textRotation="0" wrapText="false" indent="0" shrinkToFit="false"/>
      <protection locked="true" hidden="false"/>
    </xf>
    <xf numFmtId="165" fontId="0" fillId="9" borderId="0" xfId="0" applyFont="true" applyBorder="true" applyAlignment="true" applyProtection="false">
      <alignment horizontal="center" vertical="bottom" textRotation="0" wrapText="false" indent="0" shrinkToFit="false"/>
      <protection locked="true" hidden="false"/>
    </xf>
    <xf numFmtId="165" fontId="39" fillId="9" borderId="0" xfId="0" applyFont="true" applyBorder="true" applyAlignment="true" applyProtection="false">
      <alignment horizontal="general" vertical="bottom" textRotation="0" wrapText="false" indent="0" shrinkToFit="false"/>
      <protection locked="true" hidden="false"/>
    </xf>
    <xf numFmtId="165" fontId="39" fillId="9" borderId="0" xfId="0" applyFont="true" applyBorder="true" applyAlignment="true" applyProtection="false">
      <alignment horizontal="center" vertical="bottom" textRotation="0" wrapText="false" indent="0" shrinkToFit="false"/>
      <protection locked="true" hidden="false"/>
    </xf>
    <xf numFmtId="165" fontId="71" fillId="0" borderId="0" xfId="0" applyFont="true" applyBorder="true" applyAlignment="true" applyProtection="false">
      <alignment horizontal="general" vertical="center" textRotation="0" wrapText="false" indent="0" shrinkToFit="false"/>
      <protection locked="true" hidden="false"/>
    </xf>
    <xf numFmtId="165" fontId="72" fillId="0" borderId="0" xfId="0" applyFont="true" applyBorder="true" applyAlignment="true" applyProtection="false">
      <alignment horizontal="general" vertical="center" textRotation="0" wrapText="false" indent="0" shrinkToFit="false"/>
      <protection locked="true" hidden="false"/>
    </xf>
    <xf numFmtId="165" fontId="73" fillId="9" borderId="0" xfId="0" applyFont="true" applyBorder="true" applyAlignment="true" applyProtection="false">
      <alignment horizontal="right" vertical="center" textRotation="0" wrapText="false" indent="0" shrinkToFit="false"/>
      <protection locked="true" hidden="false"/>
    </xf>
    <xf numFmtId="165" fontId="26" fillId="9" borderId="0" xfId="0" applyFont="true" applyBorder="true" applyAlignment="true" applyProtection="false">
      <alignment horizontal="general" vertical="center" textRotation="0" wrapText="true" indent="0" shrinkToFit="false"/>
      <protection locked="true" hidden="false"/>
    </xf>
    <xf numFmtId="165" fontId="35" fillId="9" borderId="0" xfId="0" applyFont="true" applyBorder="true" applyAlignment="true" applyProtection="false">
      <alignment horizontal="left" vertical="center" textRotation="0" wrapText="true" indent="0" shrinkToFit="false"/>
      <protection locked="true" hidden="false"/>
    </xf>
    <xf numFmtId="164" fontId="0" fillId="9" borderId="12" xfId="0" applyFont="true" applyBorder="true" applyAlignment="true" applyProtection="false">
      <alignment horizontal="center" vertical="center" textRotation="0" wrapText="true" indent="0" shrinkToFit="false"/>
      <protection locked="true" hidden="false"/>
    </xf>
    <xf numFmtId="165" fontId="0" fillId="9" borderId="12" xfId="0" applyFont="true" applyBorder="true" applyAlignment="true" applyProtection="false">
      <alignment horizontal="center" vertical="center" textRotation="0" wrapText="true" indent="0" shrinkToFit="false"/>
      <protection locked="true" hidden="false"/>
    </xf>
    <xf numFmtId="164" fontId="6" fillId="9" borderId="12" xfId="0" applyFont="true" applyBorder="true" applyAlignment="true" applyProtection="false">
      <alignment horizontal="center" vertical="center" textRotation="0" wrapText="true" indent="0" shrinkToFit="false"/>
      <protection locked="true" hidden="false"/>
    </xf>
    <xf numFmtId="165" fontId="52" fillId="9" borderId="0" xfId="0" applyFont="true" applyBorder="true" applyAlignment="true" applyProtection="false">
      <alignment horizontal="center" vertical="center" textRotation="0" wrapText="false" indent="0" shrinkToFit="false"/>
      <protection locked="true" hidden="false"/>
    </xf>
    <xf numFmtId="164" fontId="26" fillId="0" borderId="12" xfId="0" applyFont="true" applyBorder="true" applyAlignment="true" applyProtection="false">
      <alignment horizontal="center" vertical="center" textRotation="0" wrapText="false" indent="0" shrinkToFit="false"/>
      <protection locked="true" hidden="false"/>
    </xf>
    <xf numFmtId="165" fontId="26" fillId="0" borderId="12" xfId="0" applyFont="true" applyBorder="true" applyAlignment="true" applyProtection="false">
      <alignment horizontal="general" vertical="center" textRotation="0" wrapText="true" indent="0" shrinkToFit="false"/>
      <protection locked="true" hidden="false"/>
    </xf>
    <xf numFmtId="171" fontId="26" fillId="0" borderId="12" xfId="0" applyFont="true" applyBorder="true" applyAlignment="true" applyProtection="false">
      <alignment horizontal="left" vertical="center" textRotation="0" wrapText="true" indent="0" shrinkToFit="false"/>
      <protection locked="true" hidden="false"/>
    </xf>
    <xf numFmtId="165" fontId="74" fillId="9" borderId="0" xfId="0" applyFont="true" applyBorder="true" applyAlignment="true" applyProtection="false">
      <alignment horizontal="general" vertical="bottom" textRotation="0" wrapText="false" indent="0" shrinkToFit="false"/>
      <protection locked="true" hidden="false"/>
    </xf>
    <xf numFmtId="164" fontId="0" fillId="9" borderId="12" xfId="0" applyFont="true" applyBorder="true" applyAlignment="true" applyProtection="false">
      <alignment horizontal="center" vertical="center" textRotation="0" wrapText="false" indent="0" shrinkToFit="false"/>
      <protection locked="true" hidden="false"/>
    </xf>
    <xf numFmtId="171" fontId="0" fillId="9" borderId="12"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general" vertical="center" textRotation="0" wrapText="true" indent="0" shrinkToFit="false"/>
      <protection locked="true" hidden="false"/>
    </xf>
    <xf numFmtId="171" fontId="0" fillId="9" borderId="12" xfId="0" applyFont="true" applyBorder="true" applyAlignment="true" applyProtection="false">
      <alignment horizontal="left" vertical="center" textRotation="0" wrapText="true" indent="1" shrinkToFit="false"/>
      <protection locked="true" hidden="false"/>
    </xf>
    <xf numFmtId="164" fontId="0" fillId="8" borderId="12" xfId="0" applyFont="true" applyBorder="true" applyAlignment="true" applyProtection="true">
      <alignment horizontal="left" vertical="center" textRotation="0" wrapText="true" indent="0" shrinkToFit="false"/>
      <protection locked="false" hidden="false"/>
    </xf>
    <xf numFmtId="165" fontId="26" fillId="0" borderId="12" xfId="0" applyFont="true" applyBorder="true" applyAlignment="true" applyProtection="false">
      <alignment horizontal="left" vertical="center" textRotation="0" wrapText="true" indent="1" shrinkToFit="false"/>
      <protection locked="true" hidden="false"/>
    </xf>
    <xf numFmtId="164" fontId="6" fillId="9" borderId="0" xfId="0" applyFont="true" applyBorder="true" applyAlignment="true" applyProtection="false">
      <alignment horizontal="center" vertical="center" textRotation="0" wrapText="true" indent="0" shrinkToFit="false"/>
      <protection locked="true" hidden="false"/>
    </xf>
    <xf numFmtId="165" fontId="6" fillId="9" borderId="17" xfId="0" applyFont="true" applyBorder="true" applyAlignment="true" applyProtection="false">
      <alignment horizontal="center" vertical="center" textRotation="0" wrapText="true" indent="0" shrinkToFit="false"/>
      <protection locked="true" hidden="false"/>
    </xf>
    <xf numFmtId="165" fontId="71" fillId="0" borderId="0" xfId="0" applyFont="true" applyBorder="true" applyAlignment="true" applyProtection="false">
      <alignment horizontal="general" vertical="center" textRotation="0" wrapText="true" indent="0" shrinkToFit="false"/>
      <protection locked="true" hidden="false"/>
    </xf>
    <xf numFmtId="171" fontId="0" fillId="9" borderId="12" xfId="0" applyFont="true" applyBorder="true" applyAlignment="true" applyProtection="false">
      <alignment horizontal="center" vertical="center" textRotation="0" wrapText="false" indent="0" shrinkToFit="false"/>
      <protection locked="true" hidden="false"/>
    </xf>
    <xf numFmtId="165" fontId="0" fillId="9" borderId="12" xfId="0" applyFont="true" applyBorder="true" applyAlignment="true" applyProtection="false">
      <alignment horizontal="left" vertical="center" textRotation="0" wrapText="true" indent="2" shrinkToFit="false"/>
      <protection locked="true" hidden="false"/>
    </xf>
    <xf numFmtId="164" fontId="0" fillId="0" borderId="12" xfId="0" applyFont="true" applyBorder="true" applyAlignment="true" applyProtection="false">
      <alignment horizontal="left" vertical="center" textRotation="0" wrapText="true" indent="0" shrinkToFit="false"/>
      <protection locked="true" hidden="false"/>
    </xf>
    <xf numFmtId="164" fontId="6" fillId="9" borderId="0" xfId="0" applyFont="true" applyBorder="true" applyAlignment="true" applyProtection="false">
      <alignment horizontal="general" vertical="center" textRotation="0" wrapText="true" indent="0" shrinkToFit="false"/>
      <protection locked="true" hidden="false"/>
    </xf>
    <xf numFmtId="165" fontId="6" fillId="9" borderId="17" xfId="0" applyFont="true" applyBorder="true" applyAlignment="true" applyProtection="false">
      <alignment horizontal="general" vertical="center" textRotation="0" wrapText="true" indent="0" shrinkToFit="false"/>
      <protection locked="true" hidden="false"/>
    </xf>
    <xf numFmtId="165" fontId="6" fillId="11" borderId="13" xfId="0" applyFont="true" applyBorder="true" applyAlignment="true" applyProtection="false">
      <alignment horizontal="center" vertical="bottom" textRotation="0" wrapText="false" indent="0" shrinkToFit="false"/>
      <protection locked="true" hidden="false"/>
    </xf>
    <xf numFmtId="165" fontId="73" fillId="11" borderId="10" xfId="0" applyFont="true" applyBorder="true" applyAlignment="true" applyProtection="false">
      <alignment horizontal="left" vertical="center" textRotation="0" wrapText="false" indent="0" shrinkToFit="false"/>
      <protection locked="true" hidden="false"/>
    </xf>
    <xf numFmtId="165" fontId="73" fillId="11" borderId="19" xfId="0" applyFont="true" applyBorder="true" applyAlignment="true" applyProtection="false">
      <alignment horizontal="left" vertical="center" textRotation="0" wrapText="false" indent="0" shrinkToFit="false"/>
      <protection locked="true" hidden="false"/>
    </xf>
    <xf numFmtId="164" fontId="26" fillId="9" borderId="12" xfId="0" applyFont="true" applyBorder="true" applyAlignment="true" applyProtection="false">
      <alignment horizontal="center" vertical="center" textRotation="0" wrapText="false" indent="0" shrinkToFit="false"/>
      <protection locked="true" hidden="false"/>
    </xf>
    <xf numFmtId="165" fontId="26" fillId="9" borderId="12" xfId="0" applyFont="true" applyBorder="true" applyAlignment="true" applyProtection="false">
      <alignment horizontal="general" vertical="center" textRotation="0" wrapText="true" indent="0" shrinkToFit="false"/>
      <protection locked="true" hidden="false"/>
    </xf>
    <xf numFmtId="165" fontId="26" fillId="9" borderId="12" xfId="0" applyFont="true" applyBorder="true" applyAlignment="true" applyProtection="false">
      <alignment horizontal="left" vertical="center" textRotation="0" wrapText="true" indent="1" shrinkToFit="false"/>
      <protection locked="true" hidden="false"/>
    </xf>
    <xf numFmtId="165" fontId="26" fillId="9" borderId="12" xfId="0" applyFont="true" applyBorder="true" applyAlignment="true" applyProtection="false">
      <alignment horizontal="left" vertical="center" textRotation="0" wrapText="true" indent="2" shrinkToFit="false"/>
      <protection locked="true" hidden="false"/>
    </xf>
    <xf numFmtId="164" fontId="26" fillId="0" borderId="12" xfId="0" applyFont="true" applyBorder="true" applyAlignment="true" applyProtection="false">
      <alignment horizontal="left" vertical="center" textRotation="0" wrapText="true" indent="0" shrinkToFit="false"/>
      <protection locked="true" hidden="false"/>
    </xf>
    <xf numFmtId="171" fontId="0" fillId="9" borderId="12" xfId="0" applyFont="true" applyBorder="true" applyAlignment="true" applyProtection="false">
      <alignment horizontal="left" vertical="center" textRotation="0" wrapText="true" indent="0" shrinkToFit="false"/>
      <protection locked="true" hidden="false"/>
    </xf>
    <xf numFmtId="164" fontId="0" fillId="5" borderId="12" xfId="0" applyFont="true" applyBorder="true" applyAlignment="true" applyProtection="true">
      <alignment horizontal="left" vertical="center" textRotation="0" wrapText="true" indent="0" shrinkToFit="false"/>
      <protection locked="false" hidden="false"/>
    </xf>
    <xf numFmtId="171" fontId="0" fillId="9" borderId="25" xfId="0" applyFont="true" applyBorder="true" applyAlignment="true" applyProtection="false">
      <alignment horizontal="left" vertical="center" textRotation="0" wrapText="true" indent="0" shrinkToFit="false"/>
      <protection locked="true" hidden="false"/>
    </xf>
    <xf numFmtId="171" fontId="6" fillId="9" borderId="12" xfId="0" applyFont="true" applyBorder="true" applyAlignment="true" applyProtection="false">
      <alignment horizontal="left" vertical="top"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1" shrinkToFit="false"/>
      <protection locked="true" hidden="false"/>
    </xf>
    <xf numFmtId="165" fontId="46" fillId="9" borderId="0" xfId="0" applyFont="true" applyBorder="true" applyAlignment="true" applyProtection="false">
      <alignment horizontal="center" vertical="center" textRotation="0" wrapText="true" indent="0" shrinkToFit="false"/>
      <protection locked="true" hidden="false"/>
    </xf>
    <xf numFmtId="164" fontId="0" fillId="8" borderId="12" xfId="0" applyFont="true" applyBorder="true" applyAlignment="true" applyProtection="true">
      <alignment horizontal="left" vertical="center" textRotation="0" wrapText="true" indent="1" shrinkToFit="false"/>
      <protection locked="false" hidden="false"/>
    </xf>
    <xf numFmtId="164" fontId="6" fillId="8" borderId="13" xfId="0" applyFont="true" applyBorder="true" applyAlignment="true" applyProtection="true">
      <alignment horizontal="left" vertical="center" textRotation="0" wrapText="true" indent="0" shrinkToFit="false"/>
      <protection locked="false" hidden="false"/>
    </xf>
    <xf numFmtId="165" fontId="75" fillId="9" borderId="0" xfId="0" applyFont="true" applyBorder="true" applyAlignment="true" applyProtection="false">
      <alignment horizontal="general" vertical="bottom" textRotation="0" wrapText="false" indent="0" shrinkToFit="false"/>
      <protection locked="true" hidden="false"/>
    </xf>
    <xf numFmtId="164" fontId="6" fillId="8" borderId="12" xfId="0" applyFont="true" applyBorder="true" applyAlignment="true" applyProtection="true">
      <alignment horizontal="left" vertical="center" textRotation="0" wrapText="true" indent="0" shrinkToFit="false"/>
      <protection locked="false" hidden="false"/>
    </xf>
    <xf numFmtId="164" fontId="6" fillId="5" borderId="12" xfId="0" applyFont="true" applyBorder="true" applyAlignment="true" applyProtection="true">
      <alignment horizontal="left" vertical="center" textRotation="0" wrapText="true" indent="0" shrinkToFit="false"/>
      <protection locked="false" hidden="false"/>
    </xf>
    <xf numFmtId="164" fontId="6" fillId="10" borderId="12" xfId="0" applyFont="true" applyBorder="true" applyAlignment="true" applyProtection="false">
      <alignment horizontal="left" vertical="center" textRotation="0" wrapText="true" indent="0" shrinkToFit="false"/>
      <protection locked="true" hidden="false"/>
    </xf>
    <xf numFmtId="165" fontId="0" fillId="9" borderId="13" xfId="0" applyFont="true" applyBorder="true" applyAlignment="true" applyProtection="false">
      <alignment horizontal="left" vertical="center" textRotation="0" wrapText="true" indent="1" shrinkToFit="false"/>
      <protection locked="true" hidden="false"/>
    </xf>
    <xf numFmtId="164" fontId="6" fillId="10" borderId="13" xfId="0" applyFont="true" applyBorder="true" applyAlignment="true" applyProtection="false">
      <alignment horizontal="left" vertical="center" textRotation="0" wrapText="true" indent="0" shrinkToFit="false"/>
      <protection locked="true" hidden="false"/>
    </xf>
    <xf numFmtId="165" fontId="0" fillId="9" borderId="12" xfId="0" applyFont="true" applyBorder="true" applyAlignment="true" applyProtection="false">
      <alignment horizontal="general" vertical="top" textRotation="0" wrapText="true" indent="0" shrinkToFit="false"/>
      <protection locked="true" hidden="false"/>
    </xf>
    <xf numFmtId="165" fontId="0" fillId="9" borderId="13" xfId="0" applyFont="true" applyBorder="true" applyAlignment="true" applyProtection="false">
      <alignment horizontal="left" vertical="center" textRotation="0" wrapText="true" indent="0" shrinkToFit="false"/>
      <protection locked="true" hidden="false"/>
    </xf>
    <xf numFmtId="171" fontId="0" fillId="9" borderId="18"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general" vertical="top" textRotation="0" wrapText="true" indent="0" shrinkToFit="false"/>
      <protection locked="true" hidden="false"/>
    </xf>
    <xf numFmtId="165" fontId="56" fillId="0" borderId="0" xfId="0" applyFont="true" applyBorder="true" applyAlignment="true" applyProtection="false">
      <alignment horizontal="right" vertical="top" textRotation="0" wrapText="true" indent="0" shrinkToFit="false"/>
      <protection locked="true" hidden="false"/>
    </xf>
    <xf numFmtId="171" fontId="56" fillId="0" borderId="0" xfId="0" applyFont="true" applyBorder="true" applyAlignment="true" applyProtection="false">
      <alignment horizontal="left" vertical="top" textRotation="0" wrapText="true" indent="1" shrinkToFit="false"/>
      <protection locked="true" hidden="false"/>
    </xf>
    <xf numFmtId="165" fontId="76" fillId="9" borderId="0" xfId="0" applyFont="true" applyBorder="true" applyAlignment="true" applyProtection="false">
      <alignment horizontal="general" vertical="bottom" textRotation="0" wrapText="false" indent="0" shrinkToFit="false"/>
      <protection locked="true" hidden="false"/>
    </xf>
    <xf numFmtId="165" fontId="64" fillId="9" borderId="0" xfId="0" applyFont="true" applyBorder="true" applyAlignment="true" applyProtection="false">
      <alignment horizontal="center" vertical="bottom" textRotation="0" wrapText="false" indent="0" shrinkToFit="false"/>
      <protection locked="true" hidden="false"/>
    </xf>
    <xf numFmtId="165" fontId="64" fillId="9" borderId="0" xfId="0" applyFont="true" applyBorder="true" applyAlignment="true" applyProtection="false">
      <alignment horizontal="general" vertical="bottom" textRotation="0" wrapText="false" indent="0" shrinkToFit="false"/>
      <protection locked="true" hidden="false"/>
    </xf>
    <xf numFmtId="165" fontId="77" fillId="9" borderId="0" xfId="0" applyFont="true" applyBorder="true" applyAlignment="true" applyProtection="false">
      <alignment horizontal="right" vertical="center" textRotation="0" wrapText="false" indent="0" shrinkToFit="false"/>
      <protection locked="true" hidden="false"/>
    </xf>
    <xf numFmtId="165" fontId="78" fillId="9" borderId="0" xfId="0" applyFont="true" applyBorder="true" applyAlignment="true" applyProtection="false">
      <alignment horizontal="general" vertical="center" textRotation="0" wrapText="false" indent="0" shrinkToFit="false"/>
      <protection locked="true" hidden="false"/>
    </xf>
    <xf numFmtId="165" fontId="77" fillId="9" borderId="0" xfId="0" applyFont="true" applyBorder="true" applyAlignment="true" applyProtection="false">
      <alignment horizontal="right" vertical="top" textRotation="0" wrapText="false" indent="0" shrinkToFit="false"/>
      <protection locked="true" hidden="false"/>
    </xf>
    <xf numFmtId="165" fontId="78" fillId="9" borderId="0" xfId="0" applyFont="true" applyBorder="true" applyAlignment="true" applyProtection="false">
      <alignment horizontal="general" vertical="center" textRotation="0" wrapText="true" indent="0" shrinkToFit="false"/>
      <protection locked="true" hidden="false"/>
    </xf>
    <xf numFmtId="165" fontId="30" fillId="9" borderId="0" xfId="0" applyFont="true" applyBorder="true" applyAlignment="true" applyProtection="false">
      <alignment horizontal="center" vertical="center" textRotation="0" wrapText="true" indent="0" shrinkToFit="false"/>
      <protection locked="true" hidden="false"/>
    </xf>
    <xf numFmtId="165" fontId="30" fillId="9" borderId="0" xfId="0" applyFont="true" applyBorder="true" applyAlignment="true" applyProtection="false">
      <alignment horizontal="right" vertical="center" textRotation="0" wrapText="true" indent="0" shrinkToFit="false"/>
      <protection locked="true" hidden="false"/>
    </xf>
    <xf numFmtId="165" fontId="17" fillId="0" borderId="0" xfId="0" applyFont="true" applyBorder="true" applyAlignment="true" applyProtection="false">
      <alignment horizontal="left" vertical="center" textRotation="0" wrapText="true" indent="3" shrinkToFit="false"/>
      <protection locked="true" hidden="false"/>
    </xf>
    <xf numFmtId="165" fontId="67" fillId="0" borderId="0" xfId="0" applyFont="true" applyBorder="true" applyAlignment="true" applyProtection="false">
      <alignment horizontal="center" vertical="center" textRotation="0" wrapText="true" indent="0" shrinkToFit="false"/>
      <protection locked="true" hidden="false"/>
    </xf>
    <xf numFmtId="165" fontId="27" fillId="0" borderId="0" xfId="0" applyFont="true" applyBorder="true" applyAlignment="true" applyProtection="false">
      <alignment horizontal="general" vertical="center" textRotation="0" wrapText="true" indent="0" shrinkToFit="false"/>
      <protection locked="true" hidden="false"/>
    </xf>
    <xf numFmtId="165" fontId="79" fillId="9" borderId="0" xfId="0" applyFont="true" applyBorder="true" applyAlignment="true" applyProtection="false">
      <alignment horizontal="center" vertical="center" textRotation="0" wrapText="true" indent="0" shrinkToFit="false"/>
      <protection locked="true" hidden="false"/>
    </xf>
    <xf numFmtId="165" fontId="29" fillId="0" borderId="0" xfId="0" applyFont="true" applyBorder="true" applyAlignment="true" applyProtection="false">
      <alignment horizontal="left" vertical="center" textRotation="0" wrapText="true" indent="1" shrinkToFit="false"/>
      <protection locked="true" hidden="false"/>
    </xf>
    <xf numFmtId="165" fontId="6" fillId="0" borderId="0" xfId="0" applyFont="true" applyBorder="true" applyAlignment="true" applyProtection="false">
      <alignment horizontal="right" vertical="center" textRotation="0" wrapText="false" indent="0" shrinkToFit="false"/>
      <protection locked="true" hidden="false"/>
    </xf>
    <xf numFmtId="171" fontId="0" fillId="0" borderId="12" xfId="0" applyFont="true" applyBorder="true" applyAlignment="true" applyProtection="false">
      <alignment horizontal="center" vertical="center" textRotation="0" wrapText="true" indent="0" shrinkToFit="false"/>
      <protection locked="true" hidden="false"/>
    </xf>
    <xf numFmtId="165" fontId="0" fillId="0" borderId="25" xfId="0" applyFont="true" applyBorder="true" applyAlignment="true" applyProtection="false">
      <alignment horizontal="center" vertical="center" textRotation="0" wrapText="true" indent="0" shrinkToFit="false"/>
      <protection locked="true" hidden="false"/>
    </xf>
    <xf numFmtId="165" fontId="0" fillId="0" borderId="13" xfId="0" applyFont="true" applyBorder="true" applyAlignment="true" applyProtection="false">
      <alignment horizontal="center" vertical="center" textRotation="0" wrapText="true" indent="0" shrinkToFit="false"/>
      <protection locked="true" hidden="false"/>
    </xf>
    <xf numFmtId="165" fontId="0" fillId="0" borderId="19" xfId="0" applyFont="true" applyBorder="true" applyAlignment="true" applyProtection="false">
      <alignment horizontal="center" vertical="center" textRotation="0" wrapText="true" indent="0" shrinkToFit="false"/>
      <protection locked="true" hidden="false"/>
    </xf>
    <xf numFmtId="165" fontId="0" fillId="0" borderId="15" xfId="0" applyFont="true" applyBorder="true" applyAlignment="true" applyProtection="false">
      <alignment horizontal="center" vertical="center" textRotation="0" wrapText="true" indent="0" shrinkToFit="false"/>
      <protection locked="true" hidden="false"/>
    </xf>
    <xf numFmtId="165" fontId="0" fillId="0" borderId="18" xfId="0" applyFont="true" applyBorder="true" applyAlignment="true" applyProtection="false">
      <alignment horizontal="center" vertical="center" textRotation="0" wrapText="true" indent="0" shrinkToFit="false"/>
      <protection locked="true" hidden="false"/>
    </xf>
    <xf numFmtId="165" fontId="0" fillId="0" borderId="29" xfId="0" applyFont="true" applyBorder="true" applyAlignment="true" applyProtection="false">
      <alignment horizontal="center" vertical="center" textRotation="0" wrapText="true" indent="0" shrinkToFit="false"/>
      <protection locked="true" hidden="false"/>
    </xf>
    <xf numFmtId="165" fontId="52" fillId="9" borderId="0" xfId="0" applyFont="true" applyBorder="true" applyAlignment="true" applyProtection="false">
      <alignment horizontal="center" vertical="center" textRotation="0" wrapText="true" indent="0" shrinkToFit="false"/>
      <protection locked="true" hidden="false"/>
    </xf>
    <xf numFmtId="164" fontId="52" fillId="9" borderId="0" xfId="0" applyFont="true" applyBorder="true" applyAlignment="true" applyProtection="false">
      <alignment horizontal="center" vertical="center" textRotation="0" wrapText="true" indent="0" shrinkToFit="false"/>
      <protection locked="true" hidden="false"/>
    </xf>
    <xf numFmtId="165" fontId="80" fillId="9" borderId="0" xfId="0" applyFont="true" applyBorder="true" applyAlignment="true" applyProtection="false">
      <alignment horizontal="center" vertical="center" textRotation="0" wrapText="true" indent="0" shrinkToFit="false"/>
      <protection locked="true" hidden="false"/>
    </xf>
    <xf numFmtId="164" fontId="48" fillId="0" borderId="25" xfId="0" applyFont="true" applyBorder="true" applyAlignment="true" applyProtection="false">
      <alignment horizontal="left" vertical="center" textRotation="0" wrapText="true" indent="0" shrinkToFit="false"/>
      <protection locked="true" hidden="false"/>
    </xf>
    <xf numFmtId="164" fontId="48" fillId="0" borderId="12" xfId="0" applyFont="true" applyBorder="true" applyAlignment="true" applyProtection="false">
      <alignment horizontal="left" vertical="center" textRotation="0" wrapText="true" indent="0" shrinkToFit="false"/>
      <protection locked="true" hidden="false"/>
    </xf>
    <xf numFmtId="164" fontId="0" fillId="0" borderId="12" xfId="0" applyFont="true" applyBorder="true" applyAlignment="true" applyProtection="false">
      <alignment horizontal="general" vertical="top" textRotation="0" wrapText="true" indent="0" shrinkToFit="false"/>
      <protection locked="true" hidden="false"/>
    </xf>
    <xf numFmtId="164" fontId="0" fillId="0" borderId="12" xfId="0" applyFont="true" applyBorder="true" applyAlignment="true" applyProtection="false">
      <alignment horizontal="center" vertical="center" textRotation="0" wrapText="true" indent="0" shrinkToFit="false"/>
      <protection locked="true" hidden="false"/>
    </xf>
    <xf numFmtId="165" fontId="6" fillId="10" borderId="13" xfId="0" applyFont="true" applyBorder="true" applyAlignment="true" applyProtection="false">
      <alignment horizontal="left" vertical="center" textRotation="0" wrapText="true" indent="0" shrinkToFit="false"/>
      <protection locked="true" hidden="false"/>
    </xf>
    <xf numFmtId="164" fontId="52" fillId="9" borderId="12" xfId="0" applyFont="true" applyBorder="true" applyAlignment="true" applyProtection="false">
      <alignment horizontal="center" vertical="center" textRotation="0" wrapText="true" indent="0" shrinkToFit="false"/>
      <protection locked="true" hidden="false"/>
    </xf>
    <xf numFmtId="174" fontId="0" fillId="8" borderId="12" xfId="0" applyFont="true" applyBorder="true" applyAlignment="true" applyProtection="true">
      <alignment horizontal="right" vertical="center" textRotation="0" wrapText="true" indent="0" shrinkToFit="false"/>
      <protection locked="false" hidden="false"/>
    </xf>
    <xf numFmtId="176" fontId="0" fillId="8" borderId="12" xfId="0" applyFont="true" applyBorder="true" applyAlignment="true" applyProtection="true">
      <alignment horizontal="right" vertical="center" textRotation="0" wrapText="true" indent="0" shrinkToFit="false"/>
      <protection locked="false" hidden="false"/>
    </xf>
    <xf numFmtId="174" fontId="0" fillId="8" borderId="19" xfId="0" applyFont="true" applyBorder="true" applyAlignment="true" applyProtection="true">
      <alignment horizontal="right" vertical="center" textRotation="0" wrapText="true" indent="0" shrinkToFit="false"/>
      <protection locked="false" hidden="false"/>
    </xf>
    <xf numFmtId="165" fontId="0" fillId="5" borderId="12" xfId="0" applyFont="true" applyBorder="true" applyAlignment="true" applyProtection="true">
      <alignment horizontal="right" vertical="center" textRotation="0" wrapText="true" indent="0" shrinkToFit="false"/>
      <protection locked="false" hidden="false"/>
    </xf>
    <xf numFmtId="176" fontId="0" fillId="0" borderId="19" xfId="0" applyFont="true" applyBorder="true" applyAlignment="true" applyProtection="false">
      <alignment horizontal="right" vertical="center" textRotation="0" wrapText="true" indent="0" shrinkToFit="false"/>
      <protection locked="true" hidden="false"/>
    </xf>
    <xf numFmtId="165" fontId="0" fillId="0" borderId="12" xfId="0" applyFont="true" applyBorder="true" applyAlignment="true" applyProtection="false">
      <alignment horizontal="left" vertical="top" textRotation="0" wrapText="true" indent="0" shrinkToFit="false"/>
      <protection locked="true" hidden="false"/>
    </xf>
    <xf numFmtId="164" fontId="32" fillId="11" borderId="13" xfId="0" applyFont="true" applyBorder="true" applyAlignment="true" applyProtection="false">
      <alignment horizontal="center" vertical="center" textRotation="0" wrapText="false" indent="0" shrinkToFit="false"/>
      <protection locked="true" hidden="false"/>
    </xf>
    <xf numFmtId="171" fontId="55" fillId="11" borderId="10" xfId="0" applyFont="true" applyBorder="true" applyAlignment="true" applyProtection="false">
      <alignment horizontal="general" vertical="center" textRotation="0" wrapText="false" indent="0" shrinkToFit="false"/>
      <protection locked="true" hidden="false"/>
    </xf>
    <xf numFmtId="164" fontId="55" fillId="11" borderId="10" xfId="0" applyFont="true" applyBorder="true" applyAlignment="true" applyProtection="false">
      <alignment horizontal="general" vertical="center" textRotation="0" wrapText="false" indent="0" shrinkToFit="false"/>
      <protection locked="true" hidden="false"/>
    </xf>
    <xf numFmtId="164" fontId="73" fillId="11" borderId="10" xfId="0" applyFont="true" applyBorder="true" applyAlignment="true" applyProtection="false">
      <alignment horizontal="general" vertical="center" textRotation="0" wrapText="false" indent="0" shrinkToFit="false"/>
      <protection locked="true" hidden="false"/>
    </xf>
    <xf numFmtId="164" fontId="73" fillId="11" borderId="19" xfId="0" applyFont="true" applyBorder="true" applyAlignment="true" applyProtection="false">
      <alignment horizontal="general" vertical="center" textRotation="0" wrapText="false" indent="0" shrinkToFit="false"/>
      <protection locked="true" hidden="false"/>
    </xf>
    <xf numFmtId="164" fontId="0" fillId="0" borderId="13" xfId="0" applyFont="true" applyBorder="true" applyAlignment="true" applyProtection="false">
      <alignment horizontal="center" vertical="center" textRotation="0" wrapText="true" indent="0" shrinkToFit="false"/>
      <protection locked="true" hidden="false"/>
    </xf>
    <xf numFmtId="165" fontId="6" fillId="10" borderId="10" xfId="0" applyFont="true" applyBorder="true" applyAlignment="true" applyProtection="false">
      <alignment horizontal="left" vertical="center" textRotation="0" wrapText="true" indent="0" shrinkToFit="false"/>
      <protection locked="true" hidden="false"/>
    </xf>
    <xf numFmtId="165" fontId="46" fillId="9" borderId="12" xfId="0" applyFont="true" applyBorder="true" applyAlignment="true" applyProtection="false">
      <alignment horizontal="center" vertical="center" textRotation="0" wrapText="true" indent="0" shrinkToFit="false"/>
      <protection locked="true" hidden="false"/>
    </xf>
    <xf numFmtId="176" fontId="6" fillId="8" borderId="12" xfId="0" applyFont="true" applyBorder="true" applyAlignment="true" applyProtection="true">
      <alignment horizontal="right" vertical="center" textRotation="0" wrapText="true" indent="0" shrinkToFit="false"/>
      <protection locked="false" hidden="false"/>
    </xf>
    <xf numFmtId="165" fontId="6" fillId="0" borderId="14" xfId="0" applyFont="true" applyBorder="true" applyAlignment="true" applyProtection="false">
      <alignment horizontal="left" vertical="top" textRotation="0" wrapText="true" indent="1" shrinkToFit="false"/>
      <protection locked="true" hidden="false"/>
    </xf>
    <xf numFmtId="165" fontId="36" fillId="0" borderId="12" xfId="0" applyFont="true" applyBorder="true" applyAlignment="true" applyProtection="false">
      <alignment horizontal="left" vertical="top" textRotation="0" wrapText="true" indent="0" shrinkToFit="false"/>
      <protection locked="true" hidden="false"/>
    </xf>
    <xf numFmtId="165" fontId="29" fillId="9" borderId="0" xfId="0" applyFont="true" applyBorder="true" applyAlignment="true" applyProtection="false">
      <alignment horizontal="right" vertical="center" textRotation="0" wrapText="false" indent="0" shrinkToFit="false"/>
      <protection locked="true" hidden="false"/>
    </xf>
    <xf numFmtId="165" fontId="29" fillId="9" borderId="0" xfId="0" applyFont="true" applyBorder="true" applyAlignment="true" applyProtection="false">
      <alignment horizontal="right" vertical="center" textRotation="0" wrapText="true" indent="0" shrinkToFit="false"/>
      <protection locked="true" hidden="false"/>
    </xf>
    <xf numFmtId="165" fontId="17" fillId="0" borderId="0" xfId="0" applyFont="true" applyBorder="true" applyAlignment="true" applyProtection="false">
      <alignment horizontal="center" vertical="center" textRotation="0" wrapText="true" indent="0" shrinkToFit="false"/>
      <protection locked="true" hidden="false"/>
    </xf>
    <xf numFmtId="174" fontId="29" fillId="0" borderId="0" xfId="0" applyFont="true" applyBorder="true" applyAlignment="true" applyProtection="false">
      <alignment horizontal="right" vertical="center" textRotation="0" wrapText="true" indent="0" shrinkToFit="false"/>
      <protection locked="true" hidden="false"/>
    </xf>
    <xf numFmtId="165" fontId="6" fillId="9" borderId="12" xfId="0" applyFont="true" applyBorder="true" applyAlignment="true" applyProtection="false">
      <alignment horizontal="center" vertical="center" textRotation="0" wrapText="true" indent="0" shrinkToFit="false"/>
      <protection locked="true" hidden="false"/>
    </xf>
    <xf numFmtId="164" fontId="52" fillId="9" borderId="10" xfId="0" applyFont="true" applyBorder="true" applyAlignment="true" applyProtection="false">
      <alignment horizontal="center" vertical="center" textRotation="0" wrapText="true" indent="0" shrinkToFit="false"/>
      <protection locked="true" hidden="false"/>
    </xf>
    <xf numFmtId="164" fontId="6" fillId="0" borderId="12" xfId="0" applyFont="true" applyBorder="true" applyAlignment="true" applyProtection="false">
      <alignment horizontal="left" vertical="center" textRotation="0" wrapText="true" indent="0" shrinkToFit="false"/>
      <protection locked="true" hidden="false"/>
    </xf>
    <xf numFmtId="165" fontId="46" fillId="9" borderId="17" xfId="0" applyFont="true" applyBorder="true" applyAlignment="true" applyProtection="false">
      <alignment horizontal="general" vertical="top" textRotation="0" wrapText="true" indent="0" shrinkToFit="false"/>
      <protection locked="true" hidden="false"/>
    </xf>
    <xf numFmtId="172" fontId="6" fillId="11" borderId="10" xfId="0" applyFont="true" applyBorder="true" applyAlignment="true" applyProtection="false">
      <alignment horizontal="center" vertical="center" textRotation="0" wrapText="true" indent="0" shrinkToFit="false"/>
      <protection locked="true" hidden="false"/>
    </xf>
    <xf numFmtId="172" fontId="66" fillId="11" borderId="10" xfId="0" applyFont="true" applyBorder="true" applyAlignment="true" applyProtection="false">
      <alignment horizontal="center" vertical="center" textRotation="0" wrapText="true" indent="0" shrinkToFit="false"/>
      <protection locked="true" hidden="false"/>
    </xf>
    <xf numFmtId="164" fontId="37" fillId="11" borderId="19" xfId="0" applyFont="true" applyBorder="true" applyAlignment="true" applyProtection="false">
      <alignment horizontal="left" vertical="center" textRotation="0" wrapText="true" indent="0" shrinkToFit="false"/>
      <protection locked="true" hidden="false"/>
    </xf>
    <xf numFmtId="165" fontId="26" fillId="0" borderId="0" xfId="0" applyFont="true" applyBorder="true" applyAlignment="true" applyProtection="false">
      <alignment horizontal="left" vertical="center" textRotation="0" wrapText="true" indent="0" shrinkToFit="false"/>
      <protection locked="true" hidden="false"/>
    </xf>
    <xf numFmtId="164" fontId="26" fillId="0" borderId="0" xfId="0" applyFont="true" applyBorder="true" applyAlignment="true" applyProtection="false">
      <alignment horizontal="left" vertical="center" textRotation="0" wrapText="true" indent="0" shrinkToFit="false"/>
      <protection locked="true" hidden="false"/>
    </xf>
    <xf numFmtId="165" fontId="46" fillId="9" borderId="0" xfId="0" applyFont="true" applyBorder="true" applyAlignment="true" applyProtection="false">
      <alignment horizontal="general" vertical="top" textRotation="0" wrapText="true" indent="0" shrinkToFit="false"/>
      <protection locked="true" hidden="false"/>
    </xf>
    <xf numFmtId="165" fontId="26" fillId="9" borderId="18" xfId="0" applyFont="true" applyBorder="true" applyAlignment="true" applyProtection="false">
      <alignment horizontal="center" vertical="center" textRotation="0" wrapText="true" indent="0" shrinkToFit="false"/>
      <protection locked="true" hidden="false"/>
    </xf>
    <xf numFmtId="172" fontId="6" fillId="10" borderId="18" xfId="0" applyFont="true" applyBorder="true" applyAlignment="true" applyProtection="false">
      <alignment horizontal="left" vertical="center" textRotation="0" wrapText="true" indent="0" shrinkToFit="false"/>
      <protection locked="true" hidden="false"/>
    </xf>
    <xf numFmtId="172" fontId="6" fillId="10" borderId="12" xfId="0" applyFont="true" applyBorder="true" applyAlignment="true" applyProtection="false">
      <alignment horizontal="center" vertical="center" textRotation="0" wrapText="true" indent="0" shrinkToFit="false"/>
      <protection locked="true" hidden="false"/>
    </xf>
    <xf numFmtId="164" fontId="37" fillId="8" borderId="12" xfId="0" applyFont="true" applyBorder="true" applyAlignment="true" applyProtection="true">
      <alignment horizontal="left" vertical="center" textRotation="0" wrapText="true" indent="0" shrinkToFit="false"/>
      <protection locked="false" hidden="false"/>
    </xf>
    <xf numFmtId="164" fontId="32" fillId="11" borderId="10" xfId="0" applyFont="true" applyBorder="true" applyAlignment="true" applyProtection="false">
      <alignment horizontal="center" vertical="center" textRotation="0" wrapText="false" indent="0" shrinkToFit="false"/>
      <protection locked="true" hidden="false"/>
    </xf>
    <xf numFmtId="164" fontId="73" fillId="11" borderId="10" xfId="0" applyFont="true" applyBorder="true" applyAlignment="true" applyProtection="false">
      <alignment horizontal="left" vertical="center" textRotation="0" wrapText="false" indent="1" shrinkToFit="false"/>
      <protection locked="true" hidden="false"/>
    </xf>
    <xf numFmtId="164" fontId="73" fillId="11" borderId="19" xfId="0" applyFont="true" applyBorder="true" applyAlignment="true" applyProtection="false">
      <alignment horizontal="left" vertical="center" textRotation="0" wrapText="false" indent="1" shrinkToFit="false"/>
      <protection locked="true" hidden="false"/>
    </xf>
    <xf numFmtId="165" fontId="79" fillId="0" borderId="0" xfId="0" applyFont="true" applyBorder="true" applyAlignment="true" applyProtection="false">
      <alignment horizontal="center" vertical="center" textRotation="0" wrapText="true" indent="0" shrinkToFit="false"/>
      <protection locked="true" hidden="false"/>
    </xf>
    <xf numFmtId="165" fontId="56" fillId="0" borderId="0" xfId="0" applyFont="true" applyBorder="true" applyAlignment="true" applyProtection="false">
      <alignment horizontal="general" vertical="top" textRotation="0" wrapText="true" indent="0" shrinkToFit="false"/>
      <protection locked="true" hidden="false"/>
    </xf>
    <xf numFmtId="165" fontId="6" fillId="0" borderId="0" xfId="0" applyFont="true" applyBorder="true" applyAlignment="true" applyProtection="false">
      <alignment horizontal="right" vertical="top" textRotation="0" wrapText="true" indent="0" shrinkToFit="false"/>
      <protection locked="true" hidden="false"/>
    </xf>
    <xf numFmtId="171" fontId="56" fillId="0" borderId="0" xfId="0" applyFont="true" applyBorder="true" applyAlignment="true" applyProtection="false">
      <alignment horizontal="general" vertical="top" textRotation="0" wrapText="false" indent="0" shrinkToFit="false"/>
      <protection locked="true" hidden="false"/>
    </xf>
    <xf numFmtId="165" fontId="81" fillId="0" borderId="0" xfId="0" applyFont="true" applyBorder="true" applyAlignment="true" applyProtection="false">
      <alignment horizontal="general" vertical="center" textRotation="0" wrapText="true" indent="0" shrinkToFit="false"/>
      <protection locked="true" hidden="false"/>
    </xf>
    <xf numFmtId="165" fontId="24" fillId="0" borderId="0" xfId="0" applyFont="true" applyBorder="true" applyAlignment="true" applyProtection="false">
      <alignment horizontal="left" vertical="center" textRotation="0" wrapText="false" indent="1" shrinkToFit="false"/>
      <protection locked="true" hidden="false"/>
    </xf>
    <xf numFmtId="165" fontId="24" fillId="0" borderId="12" xfId="0" applyFont="true" applyBorder="true" applyAlignment="true" applyProtection="false">
      <alignment horizontal="center" vertical="center" textRotation="0" wrapText="false" indent="0" shrinkToFit="false"/>
      <protection locked="true" hidden="false"/>
    </xf>
    <xf numFmtId="165" fontId="24" fillId="0" borderId="0" xfId="0" applyFont="true" applyBorder="true" applyAlignment="true" applyProtection="false">
      <alignment horizontal="center" vertical="center" textRotation="0" wrapText="false" indent="0" shrinkToFit="false"/>
      <protection locked="true" hidden="false"/>
    </xf>
    <xf numFmtId="165" fontId="24" fillId="0" borderId="0" xfId="0" applyFont="true" applyBorder="true" applyAlignment="true" applyProtection="false">
      <alignment horizontal="left" vertical="center" textRotation="0" wrapText="true" indent="0" shrinkToFit="false"/>
      <protection locked="true" hidden="false"/>
    </xf>
    <xf numFmtId="164" fontId="6" fillId="0" borderId="17" xfId="0" applyFont="true" applyBorder="true" applyAlignment="true" applyProtection="false">
      <alignment horizontal="general" vertical="top" textRotation="0" wrapText="false" indent="0" shrinkToFit="false"/>
      <protection locked="true" hidden="false"/>
    </xf>
    <xf numFmtId="171" fontId="6" fillId="9" borderId="12" xfId="0" applyFont="true" applyBorder="true" applyAlignment="true" applyProtection="false">
      <alignment horizontal="left" vertical="center" textRotation="0" wrapText="true" indent="0" shrinkToFit="false"/>
      <protection locked="true" hidden="false"/>
    </xf>
    <xf numFmtId="165" fontId="6" fillId="0" borderId="12" xfId="0" applyFont="true" applyBorder="true" applyAlignment="true" applyProtection="false">
      <alignment horizontal="general" vertical="center" textRotation="0" wrapText="true" indent="0" shrinkToFit="false"/>
      <protection locked="true" hidden="false"/>
    </xf>
    <xf numFmtId="165" fontId="6" fillId="0" borderId="12" xfId="0" applyFont="true" applyBorder="true" applyAlignment="true" applyProtection="false">
      <alignment horizontal="left" vertical="center" textRotation="0" wrapText="true" indent="6" shrinkToFit="false"/>
      <protection locked="true" hidden="false"/>
    </xf>
    <xf numFmtId="165" fontId="6" fillId="7" borderId="12" xfId="0" applyFont="true" applyBorder="true" applyAlignment="true" applyProtection="false">
      <alignment horizontal="left" vertical="center" textRotation="0" wrapText="true" indent="0" shrinkToFit="false"/>
      <protection locked="true" hidden="false"/>
    </xf>
    <xf numFmtId="171" fontId="6" fillId="7" borderId="12" xfId="0" applyFont="true" applyBorder="true" applyAlignment="true" applyProtection="false">
      <alignment horizontal="left" vertical="center" textRotation="0" wrapText="true" indent="0" shrinkToFit="false"/>
      <protection locked="true" hidden="false"/>
    </xf>
    <xf numFmtId="165" fontId="82" fillId="0" borderId="12" xfId="0" applyFont="true" applyBorder="true" applyAlignment="true" applyProtection="false">
      <alignment horizontal="general" vertical="top" textRotation="0" wrapText="true" indent="0" shrinkToFit="false"/>
      <protection locked="true" hidden="false"/>
    </xf>
    <xf numFmtId="165" fontId="51" fillId="9" borderId="0" xfId="0" applyFont="true" applyBorder="true" applyAlignment="true" applyProtection="false">
      <alignment horizontal="center" vertical="center" textRotation="0" wrapText="true" indent="0" shrinkToFit="false"/>
      <protection locked="true" hidden="false"/>
    </xf>
    <xf numFmtId="165" fontId="6" fillId="0" borderId="17"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1" shrinkToFit="false"/>
      <protection locked="true" hidden="false"/>
    </xf>
    <xf numFmtId="165" fontId="46" fillId="0" borderId="0"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2" shrinkToFit="false"/>
      <protection locked="true" hidden="false"/>
    </xf>
    <xf numFmtId="165" fontId="6" fillId="9" borderId="12" xfId="0" applyFont="true" applyBorder="true" applyAlignment="true" applyProtection="false">
      <alignment horizontal="left" vertical="center" textRotation="0" wrapText="true" indent="3" shrinkToFit="false"/>
      <protection locked="true" hidden="false"/>
    </xf>
    <xf numFmtId="171" fontId="24" fillId="0" borderId="12" xfId="0" applyFont="true" applyBorder="true" applyAlignment="true" applyProtection="false">
      <alignment horizontal="center" vertical="center" textRotation="0" wrapText="true" indent="0" shrinkToFit="false"/>
      <protection locked="true" hidden="false"/>
    </xf>
    <xf numFmtId="165" fontId="26" fillId="0" borderId="17"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4" shrinkToFit="false"/>
      <protection locked="true" hidden="false"/>
    </xf>
    <xf numFmtId="165" fontId="6" fillId="10" borderId="12" xfId="0" applyFont="true" applyBorder="true" applyAlignment="true" applyProtection="false">
      <alignment horizontal="left" vertical="center" textRotation="0" wrapText="true" indent="0" shrinkToFit="false"/>
      <protection locked="true" hidden="false"/>
    </xf>
    <xf numFmtId="165" fontId="26" fillId="0" borderId="17"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5" shrinkToFit="false"/>
      <protection locked="true" hidden="false"/>
    </xf>
    <xf numFmtId="165" fontId="6" fillId="10" borderId="12" xfId="0" applyFont="true" applyBorder="true" applyAlignment="true" applyProtection="false">
      <alignment horizontal="left" vertical="center" textRotation="0" wrapText="true" indent="6" shrinkToFit="false"/>
      <protection locked="true" hidden="false"/>
    </xf>
    <xf numFmtId="174" fontId="6" fillId="5" borderId="12" xfId="0" applyFont="true" applyBorder="true" applyAlignment="true" applyProtection="true">
      <alignment horizontal="right" vertical="center" textRotation="0" wrapText="true" indent="0" shrinkToFit="false"/>
      <protection locked="false" hidden="false"/>
    </xf>
    <xf numFmtId="174" fontId="6" fillId="0" borderId="12" xfId="0" applyFont="true" applyBorder="true" applyAlignment="true" applyProtection="false">
      <alignment horizontal="right" vertical="center" textRotation="0" wrapText="true" indent="0" shrinkToFit="false"/>
      <protection locked="true" hidden="false"/>
    </xf>
    <xf numFmtId="169" fontId="6" fillId="5" borderId="12" xfId="0" applyFont="true" applyBorder="true" applyAlignment="true" applyProtection="true">
      <alignment horizontal="right" vertical="center" textRotation="0" wrapText="true" indent="0" shrinkToFit="false"/>
      <protection locked="false" hidden="false"/>
    </xf>
    <xf numFmtId="173" fontId="0" fillId="8" borderId="12" xfId="0" applyFont="true" applyBorder="true" applyAlignment="true" applyProtection="true">
      <alignment horizontal="center" vertical="center" textRotation="0" wrapText="true" indent="0" shrinkToFit="false"/>
      <protection locked="false" hidden="false"/>
    </xf>
    <xf numFmtId="165" fontId="82" fillId="0" borderId="12" xfId="0" applyFont="true" applyBorder="true" applyAlignment="true" applyProtection="false">
      <alignment horizontal="left" vertical="top" textRotation="0" wrapText="true" indent="0" shrinkToFit="false"/>
      <protection locked="true" hidden="false"/>
    </xf>
    <xf numFmtId="174" fontId="26" fillId="0" borderId="12" xfId="0" applyFont="true" applyBorder="true" applyAlignment="true" applyProtection="false">
      <alignment horizontal="center" vertical="center" textRotation="0" wrapText="true" indent="0" shrinkToFit="false"/>
      <protection locked="true" hidden="false"/>
    </xf>
    <xf numFmtId="164" fontId="73" fillId="11" borderId="13" xfId="0" applyFont="true" applyBorder="true" applyAlignment="true" applyProtection="false">
      <alignment horizontal="left" vertical="center" textRotation="0" wrapText="false" indent="0" shrinkToFit="false"/>
      <protection locked="true" hidden="false"/>
    </xf>
    <xf numFmtId="164" fontId="55" fillId="11" borderId="10" xfId="0" applyFont="true" applyBorder="true" applyAlignment="true" applyProtection="false">
      <alignment horizontal="left" vertical="center" textRotation="0" wrapText="false" indent="6" shrinkToFit="false"/>
      <protection locked="true" hidden="false"/>
    </xf>
    <xf numFmtId="164" fontId="6" fillId="11" borderId="19" xfId="0" applyFont="true" applyBorder="true" applyAlignment="true" applyProtection="false">
      <alignment horizontal="center" vertical="center" textRotation="0" wrapText="true" indent="0" shrinkToFit="false"/>
      <protection locked="true" hidden="false"/>
    </xf>
    <xf numFmtId="164" fontId="55" fillId="11" borderId="10" xfId="0" applyFont="true" applyBorder="true" applyAlignment="true" applyProtection="false">
      <alignment horizontal="left" vertical="center" textRotation="0" wrapText="false" indent="5" shrinkToFit="false"/>
      <protection locked="true" hidden="false"/>
    </xf>
    <xf numFmtId="164" fontId="0" fillId="11" borderId="10" xfId="0" applyFont="true" applyBorder="true" applyAlignment="true" applyProtection="false">
      <alignment horizontal="center" vertical="center" textRotation="0" wrapText="true" indent="0" shrinkToFit="false"/>
      <protection locked="true" hidden="false"/>
    </xf>
    <xf numFmtId="164" fontId="0" fillId="11" borderId="19" xfId="0" applyFont="true" applyBorder="true" applyAlignment="true" applyProtection="false">
      <alignment horizontal="center" vertical="center" textRotation="0" wrapText="true" indent="0" shrinkToFit="false"/>
      <protection locked="true" hidden="false"/>
    </xf>
    <xf numFmtId="164" fontId="81" fillId="0" borderId="0" xfId="0" applyFont="true" applyBorder="true" applyAlignment="true" applyProtection="false">
      <alignment horizontal="general" vertical="top" textRotation="0" wrapText="false" indent="0" shrinkToFit="false"/>
      <protection locked="true" hidden="false"/>
    </xf>
    <xf numFmtId="164" fontId="55" fillId="11" borderId="10" xfId="0" applyFont="true" applyBorder="true" applyAlignment="true" applyProtection="false">
      <alignment horizontal="left" vertical="center" textRotation="0" wrapText="false" indent="4" shrinkToFit="false"/>
      <protection locked="true" hidden="false"/>
    </xf>
    <xf numFmtId="164" fontId="83" fillId="0" borderId="0" xfId="0" applyFont="true" applyBorder="true" applyAlignment="true" applyProtection="false">
      <alignment horizontal="general" vertical="top" textRotation="0" wrapText="false" indent="0" shrinkToFit="false"/>
      <protection locked="true" hidden="false"/>
    </xf>
    <xf numFmtId="164" fontId="84" fillId="0" borderId="14" xfId="0" applyFont="true" applyBorder="true" applyAlignment="true" applyProtection="false">
      <alignment horizontal="left" vertical="center" textRotation="0" wrapText="false" indent="0" shrinkToFit="false"/>
      <protection locked="true" hidden="false"/>
    </xf>
    <xf numFmtId="164" fontId="26" fillId="0" borderId="14" xfId="0" applyFont="true" applyBorder="true" applyAlignment="true" applyProtection="false">
      <alignment horizontal="left" vertical="center" textRotation="0" wrapText="false" indent="3" shrinkToFit="false"/>
      <protection locked="true" hidden="false"/>
    </xf>
    <xf numFmtId="164" fontId="26" fillId="0" borderId="14"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left" vertical="center" textRotation="0" wrapText="false" indent="0" shrinkToFit="false"/>
      <protection locked="true" hidden="false"/>
    </xf>
    <xf numFmtId="164" fontId="84" fillId="0" borderId="0"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true" applyAlignment="true" applyProtection="false">
      <alignment horizontal="left" vertical="center" textRotation="0" wrapText="false" indent="2" shrinkToFit="false"/>
      <protection locked="true" hidden="false"/>
    </xf>
    <xf numFmtId="164" fontId="26" fillId="0" borderId="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left" vertical="center" textRotation="0" wrapText="false" indent="1" shrinkToFit="false"/>
      <protection locked="true" hidden="false"/>
    </xf>
    <xf numFmtId="174" fontId="24" fillId="0" borderId="12" xfId="0" applyFont="true" applyBorder="true" applyAlignment="true" applyProtection="false">
      <alignment horizontal="right" vertical="center" textRotation="0" wrapText="true" indent="0" shrinkToFit="false"/>
      <protection locked="true" hidden="false"/>
    </xf>
    <xf numFmtId="169" fontId="24" fillId="0" borderId="12" xfId="0" applyFont="true" applyBorder="true" applyAlignment="true" applyProtection="false">
      <alignment horizontal="right" vertical="center" textRotation="0" wrapText="true" indent="0" shrinkToFit="false"/>
      <protection locked="true" hidden="false"/>
    </xf>
    <xf numFmtId="173" fontId="24" fillId="0" borderId="12" xfId="0" applyFont="true" applyBorder="true" applyAlignment="true" applyProtection="false">
      <alignment horizontal="center" vertical="center" textRotation="0" wrapText="true" indent="0" shrinkToFit="false"/>
      <protection locked="true" hidden="false"/>
    </xf>
    <xf numFmtId="164" fontId="24" fillId="0" borderId="12" xfId="0" applyFont="true" applyBorder="true" applyAlignment="true" applyProtection="false">
      <alignment horizontal="center" vertical="center" textRotation="0" wrapText="true" indent="0" shrinkToFit="false"/>
      <protection locked="true" hidden="false"/>
    </xf>
    <xf numFmtId="164" fontId="24" fillId="0" borderId="12" xfId="0" applyFont="true" applyBorder="true" applyAlignment="true" applyProtection="false">
      <alignment horizontal="general" vertical="center" textRotation="0" wrapText="true" indent="0" shrinkToFit="false"/>
      <protection locked="true" hidden="false"/>
    </xf>
    <xf numFmtId="165" fontId="85" fillId="0" borderId="0" xfId="0" applyFont="true" applyBorder="true" applyAlignment="true" applyProtection="false">
      <alignment horizontal="general" vertical="center" textRotation="0" wrapText="true" indent="0" shrinkToFit="false"/>
      <protection locked="true" hidden="false"/>
    </xf>
    <xf numFmtId="165" fontId="81" fillId="9" borderId="0" xfId="0" applyFont="true" applyBorder="true" applyAlignment="true" applyProtection="false">
      <alignment horizontal="general" vertical="center" textRotation="0" wrapText="true" indent="0" shrinkToFit="false"/>
      <protection locked="true" hidden="false"/>
    </xf>
    <xf numFmtId="165" fontId="6" fillId="9" borderId="0" xfId="0" applyFont="true" applyBorder="true" applyAlignment="true" applyProtection="false">
      <alignment horizontal="left" vertical="center" textRotation="0" wrapText="true" indent="0" shrinkToFit="false"/>
      <protection locked="true" hidden="false"/>
    </xf>
    <xf numFmtId="165" fontId="32" fillId="9" borderId="0" xfId="0" applyFont="true" applyBorder="true" applyAlignment="true" applyProtection="false">
      <alignment horizontal="center" vertical="center" textRotation="0" wrapText="true" indent="0" shrinkToFit="false"/>
      <protection locked="true" hidden="false"/>
    </xf>
    <xf numFmtId="165" fontId="0" fillId="9" borderId="12" xfId="0" applyFont="true" applyBorder="true" applyAlignment="true" applyProtection="false">
      <alignment horizontal="right" vertical="center" textRotation="0" wrapText="true" indent="1" shrinkToFit="false"/>
      <protection locked="true" hidden="false"/>
    </xf>
    <xf numFmtId="165" fontId="0" fillId="0" borderId="10" xfId="0" applyFont="true" applyBorder="true" applyAlignment="true" applyProtection="false">
      <alignment horizontal="general" vertical="center" textRotation="0" wrapText="false" indent="0" shrinkToFit="false"/>
      <protection locked="true" hidden="false"/>
    </xf>
    <xf numFmtId="171" fontId="6" fillId="7" borderId="12" xfId="0" applyFont="true" applyBorder="true" applyAlignment="true" applyProtection="false">
      <alignment horizontal="left" vertical="center" textRotation="0" wrapText="true" indent="1" shrinkToFit="false"/>
      <protection locked="true" hidden="false"/>
    </xf>
    <xf numFmtId="165" fontId="86" fillId="0" borderId="0" xfId="0" applyFont="true" applyBorder="true" applyAlignment="true" applyProtection="false">
      <alignment horizontal="general" vertical="center" textRotation="0" wrapText="false" indent="0" shrinkToFit="false"/>
      <protection locked="true" hidden="false"/>
    </xf>
    <xf numFmtId="173" fontId="6" fillId="7" borderId="12" xfId="0" applyFont="true" applyBorder="true" applyAlignment="true" applyProtection="false">
      <alignment horizontal="left" vertical="center" textRotation="0" wrapText="true" indent="1" shrinkToFit="false"/>
      <protection locked="true" hidden="false"/>
    </xf>
    <xf numFmtId="165" fontId="6" fillId="9" borderId="21" xfId="0" applyFont="true" applyBorder="true" applyAlignment="true" applyProtection="false">
      <alignment horizontal="general" vertical="center" textRotation="0" wrapText="true" indent="0" shrinkToFit="false"/>
      <protection locked="true" hidden="false"/>
    </xf>
    <xf numFmtId="165" fontId="46" fillId="0" borderId="21"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0" shrinkToFit="false"/>
      <protection locked="true" hidden="false"/>
    </xf>
    <xf numFmtId="165" fontId="6" fillId="0" borderId="25" xfId="0" applyFont="true" applyBorder="true" applyAlignment="true" applyProtection="false">
      <alignment horizontal="general" vertical="center" textRotation="0" wrapText="true" indent="0" shrinkToFit="false"/>
      <protection locked="true" hidden="false"/>
    </xf>
    <xf numFmtId="164" fontId="55" fillId="11" borderId="12" xfId="0" applyFont="true" applyBorder="true" applyAlignment="true" applyProtection="false">
      <alignment horizontal="center" vertical="center" textRotation="90" wrapText="true" indent="0" shrinkToFit="false"/>
      <protection locked="true" hidden="false"/>
    </xf>
    <xf numFmtId="165" fontId="6" fillId="0" borderId="30" xfId="0" applyFont="true" applyBorder="true" applyAlignment="true" applyProtection="false">
      <alignment horizontal="general" vertical="center" textRotation="0" wrapText="true" indent="0" shrinkToFit="false"/>
      <protection locked="true" hidden="false"/>
    </xf>
    <xf numFmtId="165" fontId="36" fillId="0" borderId="12" xfId="0" applyFont="true" applyBorder="true" applyAlignment="true" applyProtection="false">
      <alignment horizontal="center" vertical="center" textRotation="0" wrapText="true" indent="0" shrinkToFit="false"/>
      <protection locked="true" hidden="false"/>
    </xf>
    <xf numFmtId="165" fontId="6" fillId="0" borderId="18" xfId="0" applyFont="true" applyBorder="true" applyAlignment="true" applyProtection="false">
      <alignment horizontal="general" vertical="center" textRotation="0" wrapText="true" indent="0" shrinkToFit="false"/>
      <protection locked="true" hidden="false"/>
    </xf>
    <xf numFmtId="164" fontId="48" fillId="0" borderId="0" xfId="0" applyFont="true" applyBorder="true" applyAlignment="true" applyProtection="false">
      <alignment horizontal="general" vertical="center" textRotation="0" wrapText="true" indent="0" shrinkToFit="false"/>
      <protection locked="true" hidden="false"/>
    </xf>
    <xf numFmtId="165" fontId="87" fillId="9" borderId="0" xfId="0" applyFont="true" applyBorder="true" applyAlignment="true" applyProtection="false">
      <alignment horizontal="general" vertical="center" textRotation="0" wrapText="true" indent="0" shrinkToFit="false"/>
      <protection locked="true" hidden="false"/>
    </xf>
    <xf numFmtId="165" fontId="83" fillId="9" borderId="0" xfId="0" applyFont="true" applyBorder="true" applyAlignment="true" applyProtection="false">
      <alignment horizontal="general" vertical="center" textRotation="0" wrapText="true" indent="0" shrinkToFit="false"/>
      <protection locked="true" hidden="false"/>
    </xf>
    <xf numFmtId="164" fontId="80" fillId="9" borderId="14" xfId="0" applyFont="true" applyBorder="true" applyAlignment="true" applyProtection="false">
      <alignment horizontal="left" vertical="center" textRotation="0" wrapText="true" indent="0" shrinkToFit="false"/>
      <protection locked="true" hidden="false"/>
    </xf>
    <xf numFmtId="164" fontId="80" fillId="9" borderId="14" xfId="0" applyFont="true" applyBorder="true" applyAlignment="true" applyProtection="false">
      <alignment horizontal="center" vertical="center" textRotation="0" wrapText="true" indent="0" shrinkToFit="false"/>
      <protection locked="true" hidden="false"/>
    </xf>
    <xf numFmtId="171" fontId="26" fillId="9" borderId="14" xfId="0" applyFont="true" applyBorder="true" applyAlignment="true" applyProtection="false">
      <alignment horizontal="center" vertical="center" textRotation="0" wrapText="true" indent="0" shrinkToFit="false"/>
      <protection locked="true" hidden="false"/>
    </xf>
    <xf numFmtId="171" fontId="80" fillId="9" borderId="14" xfId="0" applyFont="true" applyBorder="true" applyAlignment="true" applyProtection="false">
      <alignment horizontal="center" vertical="center" textRotation="0" wrapText="true" indent="0" shrinkToFit="false"/>
      <protection locked="true" hidden="false"/>
    </xf>
    <xf numFmtId="174" fontId="6" fillId="0" borderId="25" xfId="0" applyFont="true" applyBorder="true" applyAlignment="true" applyProtection="false">
      <alignment horizontal="right" vertical="center" textRotation="0" wrapText="true" indent="0" shrinkToFit="false"/>
      <protection locked="true" hidden="false"/>
    </xf>
    <xf numFmtId="174" fontId="6" fillId="0" borderId="18" xfId="0" applyFont="true" applyBorder="true" applyAlignment="true" applyProtection="false">
      <alignment horizontal="right" vertical="center" textRotation="0" wrapText="true" indent="0" shrinkToFit="false"/>
      <protection locked="true" hidden="false"/>
    </xf>
    <xf numFmtId="165" fontId="6" fillId="0" borderId="0" xfId="0" applyFont="true" applyBorder="true" applyAlignment="true" applyProtection="false">
      <alignment horizontal="left" vertical="top" textRotation="0" wrapText="true" indent="0" shrinkToFit="false"/>
      <protection locked="true" hidden="false"/>
    </xf>
    <xf numFmtId="165" fontId="6" fillId="0" borderId="12" xfId="0" applyFont="true" applyBorder="true" applyAlignment="true" applyProtection="false">
      <alignment horizontal="center" vertical="center" textRotation="0" wrapText="false" indent="0" shrinkToFit="false"/>
      <protection locked="true" hidden="false"/>
    </xf>
    <xf numFmtId="165" fontId="6" fillId="0" borderId="0" xfId="0" applyFont="true" applyBorder="true" applyAlignment="true" applyProtection="false">
      <alignment horizontal="center" vertical="center" textRotation="0" wrapText="false" indent="0" shrinkToFit="false"/>
      <protection locked="true" hidden="false"/>
    </xf>
    <xf numFmtId="165" fontId="48" fillId="0" borderId="0" xfId="0" applyFont="true" applyBorder="true" applyAlignment="true" applyProtection="false">
      <alignment horizontal="left" vertical="center" textRotation="0" wrapText="false" indent="1" shrinkToFit="false"/>
      <protection locked="true" hidden="false"/>
    </xf>
    <xf numFmtId="165" fontId="48" fillId="0" borderId="0" xfId="0" applyFont="true" applyBorder="true" applyAlignment="true" applyProtection="false">
      <alignment horizontal="center" vertical="center" textRotation="0" wrapText="false" indent="0" shrinkToFit="false"/>
      <protection locked="true" hidden="false"/>
    </xf>
    <xf numFmtId="165" fontId="48" fillId="0" borderId="0" xfId="0" applyFont="true" applyBorder="true" applyAlignment="true" applyProtection="false">
      <alignment horizontal="left" vertical="center" textRotation="0" wrapText="true" indent="0" shrinkToFit="false"/>
      <protection locked="true" hidden="false"/>
    </xf>
    <xf numFmtId="164" fontId="48" fillId="0" borderId="0" xfId="0" applyFont="true" applyBorder="true" applyAlignment="true" applyProtection="false">
      <alignment horizontal="left" vertical="center" textRotation="0" wrapText="false" indent="0" shrinkToFit="false"/>
      <protection locked="true" hidden="false"/>
    </xf>
    <xf numFmtId="164" fontId="6" fillId="0" borderId="12"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69" fontId="6" fillId="0" borderId="12" xfId="0" applyFont="true" applyBorder="true" applyAlignment="true" applyProtection="false">
      <alignment horizontal="right" vertical="center" textRotation="0" wrapText="true" indent="0" shrinkToFit="false"/>
      <protection locked="true" hidden="false"/>
    </xf>
    <xf numFmtId="165" fontId="36" fillId="0" borderId="13" xfId="0" applyFont="true" applyBorder="true" applyAlignment="true" applyProtection="false">
      <alignment horizontal="center" vertical="center" textRotation="0" wrapText="true" indent="0" shrinkToFit="false"/>
      <protection locked="true" hidden="false"/>
    </xf>
    <xf numFmtId="165" fontId="6" fillId="0" borderId="19" xfId="0" applyFont="true" applyBorder="true" applyAlignment="true" applyProtection="false">
      <alignment horizontal="center" vertical="center" textRotation="0" wrapText="true" indent="0" shrinkToFit="false"/>
      <protection locked="true" hidden="false"/>
    </xf>
    <xf numFmtId="165" fontId="26" fillId="0" borderId="12" xfId="0" applyFont="true" applyBorder="true" applyAlignment="true" applyProtection="false">
      <alignment horizontal="left" vertical="center" textRotation="0" wrapText="true" indent="4" shrinkToFit="false"/>
      <protection locked="true" hidden="false"/>
    </xf>
    <xf numFmtId="165" fontId="26" fillId="0" borderId="12" xfId="0" applyFont="true" applyBorder="true" applyAlignment="true" applyProtection="false">
      <alignment horizontal="left" vertical="center" textRotation="0" wrapText="true" indent="6" shrinkToFit="false"/>
      <protection locked="true" hidden="false"/>
    </xf>
    <xf numFmtId="165" fontId="26" fillId="0" borderId="12" xfId="0" applyFont="true" applyBorder="true" applyAlignment="true" applyProtection="false">
      <alignment horizontal="left" vertical="center" textRotation="0" wrapText="true" indent="0" shrinkToFit="false"/>
      <protection locked="true" hidden="false"/>
    </xf>
    <xf numFmtId="165" fontId="26" fillId="0" borderId="12" xfId="0" applyFont="true" applyBorder="true" applyAlignment="true" applyProtection="false">
      <alignment horizontal="general" vertical="top" textRotation="0" wrapText="true" indent="0" shrinkToFit="false"/>
      <protection locked="true" hidden="false"/>
    </xf>
    <xf numFmtId="164" fontId="84" fillId="0" borderId="13" xfId="0" applyFont="true" applyBorder="true" applyAlignment="true" applyProtection="false">
      <alignment horizontal="left" vertical="center" textRotation="0" wrapText="false" indent="0" shrinkToFit="false"/>
      <protection locked="true" hidden="false"/>
    </xf>
    <xf numFmtId="164" fontId="26" fillId="0" borderId="10" xfId="0" applyFont="true" applyBorder="true" applyAlignment="true" applyProtection="false">
      <alignment horizontal="left" vertical="center" textRotation="0" wrapText="false" indent="4" shrinkToFit="false"/>
      <protection locked="true" hidden="false"/>
    </xf>
    <xf numFmtId="164" fontId="26" fillId="0" borderId="10" xfId="0" applyFont="true" applyBorder="true" applyAlignment="true" applyProtection="false">
      <alignment horizontal="center" vertical="center" textRotation="0" wrapText="true" indent="0" shrinkToFit="false"/>
      <protection locked="true" hidden="false"/>
    </xf>
    <xf numFmtId="164" fontId="26" fillId="0" borderId="19"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true" indent="0" shrinkToFit="false"/>
      <protection locked="true" hidden="false"/>
    </xf>
    <xf numFmtId="165" fontId="24" fillId="0" borderId="0" xfId="0" applyFont="true" applyBorder="true" applyAlignment="true" applyProtection="false">
      <alignment horizontal="general" vertical="top" textRotation="0" wrapText="true" indent="0" shrinkToFit="false"/>
      <protection locked="true" hidden="false"/>
    </xf>
    <xf numFmtId="171" fontId="6" fillId="9" borderId="25" xfId="0" applyFont="true" applyBorder="true" applyAlignment="true" applyProtection="false">
      <alignment horizontal="left" vertical="center" textRotation="0" wrapText="true" indent="0" shrinkToFit="false"/>
      <protection locked="true" hidden="false"/>
    </xf>
    <xf numFmtId="165" fontId="6" fillId="9" borderId="25" xfId="0" applyFont="true" applyBorder="true" applyAlignment="true" applyProtection="false">
      <alignment horizontal="left" vertical="center" textRotation="0" wrapText="true" indent="2" shrinkToFit="false"/>
      <protection locked="true" hidden="false"/>
    </xf>
    <xf numFmtId="165" fontId="6" fillId="0" borderId="25" xfId="0" applyFont="true" applyBorder="true" applyAlignment="true" applyProtection="false">
      <alignment horizontal="left" vertical="center" textRotation="0" wrapText="true" indent="6" shrinkToFit="false"/>
      <protection locked="true" hidden="false"/>
    </xf>
    <xf numFmtId="165" fontId="6" fillId="7" borderId="25" xfId="0" applyFont="true" applyBorder="true" applyAlignment="true" applyProtection="false">
      <alignment horizontal="left" vertical="center" textRotation="0" wrapText="true" indent="0" shrinkToFit="false"/>
      <protection locked="true" hidden="false"/>
    </xf>
    <xf numFmtId="171" fontId="6" fillId="7" borderId="25" xfId="0" applyFont="true" applyBorder="true" applyAlignment="true" applyProtection="false">
      <alignment horizontal="left" vertical="center" textRotation="0" wrapText="true" indent="0" shrinkToFit="false"/>
      <protection locked="true" hidden="false"/>
    </xf>
    <xf numFmtId="165" fontId="82" fillId="0" borderId="19" xfId="0" applyFont="true" applyBorder="true" applyAlignment="true" applyProtection="false">
      <alignment horizontal="general" vertical="top" textRotation="0" wrapText="true" indent="0" shrinkToFit="false"/>
      <protection locked="true" hidden="false"/>
    </xf>
    <xf numFmtId="165" fontId="26" fillId="0" borderId="19" xfId="0" applyFont="true" applyBorder="true" applyAlignment="true" applyProtection="false">
      <alignment horizontal="general" vertical="top" textRotation="0" wrapText="true" indent="0" shrinkToFit="false"/>
      <protection locked="true" hidden="false"/>
    </xf>
    <xf numFmtId="171" fontId="6" fillId="9" borderId="18" xfId="0" applyFont="true" applyBorder="true" applyAlignment="true" applyProtection="false">
      <alignment horizontal="left" vertical="center" textRotation="0" wrapText="true" indent="0" shrinkToFit="false"/>
      <protection locked="true" hidden="false"/>
    </xf>
    <xf numFmtId="165" fontId="6" fillId="10" borderId="18" xfId="0" applyFont="true" applyBorder="true" applyAlignment="true" applyProtection="false">
      <alignment horizontal="left" vertical="center" textRotation="0" wrapText="true" indent="6" shrinkToFit="false"/>
      <protection locked="true" hidden="false"/>
    </xf>
    <xf numFmtId="165" fontId="6" fillId="0" borderId="18" xfId="0" applyFont="true" applyBorder="true" applyAlignment="true" applyProtection="false">
      <alignment horizontal="left" vertical="center" textRotation="0" wrapText="true" indent="6" shrinkToFit="false"/>
      <protection locked="true" hidden="false"/>
    </xf>
    <xf numFmtId="174" fontId="6" fillId="5" borderId="18" xfId="0" applyFont="true" applyBorder="true" applyAlignment="true" applyProtection="true">
      <alignment horizontal="right" vertical="center" textRotation="0" wrapText="true" indent="0" shrinkToFit="false"/>
      <protection locked="false" hidden="false"/>
    </xf>
    <xf numFmtId="169" fontId="6" fillId="5" borderId="18" xfId="0" applyFont="true" applyBorder="true" applyAlignment="true" applyProtection="true">
      <alignment horizontal="right" vertical="center" textRotation="0" wrapText="true" indent="0" shrinkToFit="false"/>
      <protection locked="false" hidden="false"/>
    </xf>
    <xf numFmtId="173" fontId="0" fillId="8" borderId="18" xfId="0" applyFont="true" applyBorder="true" applyAlignment="true" applyProtection="true">
      <alignment horizontal="center" vertical="center" textRotation="0" wrapText="true" indent="0" shrinkToFit="false"/>
      <protection locked="false" hidden="false"/>
    </xf>
    <xf numFmtId="169" fontId="6" fillId="5" borderId="13" xfId="0" applyFont="true" applyBorder="true" applyAlignment="true" applyProtection="true">
      <alignment horizontal="right" vertical="center" textRotation="0" wrapText="true" indent="0" shrinkToFit="false"/>
      <protection locked="false" hidden="false"/>
    </xf>
    <xf numFmtId="174" fontId="6" fillId="5" borderId="19" xfId="0" applyFont="true" applyBorder="true" applyAlignment="true" applyProtection="true">
      <alignment horizontal="right" vertical="center" textRotation="0" wrapText="true" indent="0" shrinkToFit="false"/>
      <protection locked="false" hidden="false"/>
    </xf>
    <xf numFmtId="165" fontId="82" fillId="0" borderId="25" xfId="0" applyFont="true" applyBorder="true" applyAlignment="true" applyProtection="false">
      <alignment horizontal="general" vertical="top" textRotation="0" wrapText="true" indent="0" shrinkToFit="false"/>
      <protection locked="true" hidden="false"/>
    </xf>
    <xf numFmtId="165" fontId="6" fillId="5" borderId="12" xfId="0" applyFont="true" applyBorder="true" applyAlignment="true" applyProtection="true">
      <alignment horizontal="left" vertical="center" textRotation="0" wrapText="true" indent="7" shrinkToFit="false"/>
      <protection locked="false" hidden="false"/>
    </xf>
    <xf numFmtId="174" fontId="26" fillId="0" borderId="13" xfId="0" applyFont="true" applyBorder="true" applyAlignment="true" applyProtection="false">
      <alignment horizontal="center" vertical="center" textRotation="0" wrapText="true" indent="0" shrinkToFit="false"/>
      <protection locked="true" hidden="false"/>
    </xf>
    <xf numFmtId="174" fontId="6" fillId="0" borderId="19" xfId="0" applyFont="true" applyBorder="true" applyAlignment="true" applyProtection="false">
      <alignment horizontal="right" vertical="center" textRotation="0" wrapText="true" indent="0" shrinkToFit="false"/>
      <protection locked="true" hidden="false"/>
    </xf>
    <xf numFmtId="165" fontId="6" fillId="11" borderId="10" xfId="0" applyFont="true" applyBorder="true" applyAlignment="true" applyProtection="false">
      <alignment horizontal="left" vertical="center" textRotation="0" wrapText="true" indent="6" shrinkToFit="false"/>
      <protection locked="true" hidden="false"/>
    </xf>
    <xf numFmtId="174" fontId="6" fillId="11" borderId="10" xfId="0" applyFont="true" applyBorder="true" applyAlignment="true" applyProtection="false">
      <alignment horizontal="right" vertical="center" textRotation="0" wrapText="true" indent="0" shrinkToFit="false"/>
      <protection locked="true" hidden="false"/>
    </xf>
    <xf numFmtId="174" fontId="26" fillId="11" borderId="10" xfId="0" applyFont="true" applyBorder="true" applyAlignment="true" applyProtection="false">
      <alignment horizontal="center" vertical="center" textRotation="0" wrapText="true" indent="0" shrinkToFit="false"/>
      <protection locked="true" hidden="false"/>
    </xf>
    <xf numFmtId="174" fontId="6" fillId="11" borderId="19" xfId="0" applyFont="true" applyBorder="true" applyAlignment="true" applyProtection="false">
      <alignment horizontal="right" vertical="center" textRotation="0" wrapText="true" indent="0" shrinkToFit="false"/>
      <protection locked="true" hidden="false"/>
    </xf>
    <xf numFmtId="164" fontId="6" fillId="11" borderId="21" xfId="0" applyFont="true" applyBorder="true" applyAlignment="true" applyProtection="false">
      <alignment horizontal="center" vertical="center" textRotation="0" wrapText="true" indent="0" shrinkToFit="false"/>
      <protection locked="true" hidden="false"/>
    </xf>
    <xf numFmtId="165" fontId="6" fillId="7" borderId="19" xfId="0" applyFont="true" applyBorder="true" applyAlignment="true" applyProtection="false">
      <alignment horizontal="left" vertical="center" textRotation="0" wrapText="true" indent="0" shrinkToFit="false"/>
      <protection locked="true" hidden="false"/>
    </xf>
    <xf numFmtId="165" fontId="49" fillId="9" borderId="0" xfId="0" applyFont="true" applyBorder="true" applyAlignment="true" applyProtection="false">
      <alignment horizontal="center" vertical="center" textRotation="0" wrapText="true" indent="0" shrinkToFit="false"/>
      <protection locked="true" hidden="false"/>
    </xf>
    <xf numFmtId="165" fontId="26" fillId="0" borderId="19" xfId="0" applyFont="true" applyBorder="true" applyAlignment="true" applyProtection="false">
      <alignment horizontal="left" vertical="center" textRotation="0" wrapText="true" indent="0" shrinkToFit="false"/>
      <protection locked="true" hidden="false"/>
    </xf>
    <xf numFmtId="165" fontId="26" fillId="0" borderId="12" xfId="0" applyFont="true" applyBorder="true" applyAlignment="true" applyProtection="false">
      <alignment horizontal="left" vertical="center" textRotation="0" wrapText="true" indent="5" shrinkToFit="false"/>
      <protection locked="true" hidden="false"/>
    </xf>
    <xf numFmtId="165" fontId="26" fillId="0" borderId="17" xfId="0" applyFont="true" applyBorder="true" applyAlignment="true" applyProtection="false">
      <alignment horizontal="center" vertical="top" textRotation="0" wrapText="true" indent="0" shrinkToFit="false"/>
      <protection locked="true" hidden="false"/>
    </xf>
    <xf numFmtId="164" fontId="6" fillId="8" borderId="12" xfId="0" applyFont="true" applyBorder="true" applyAlignment="true" applyProtection="true">
      <alignment horizontal="left" vertical="center" textRotation="0" wrapText="true" indent="6" shrinkToFit="false"/>
      <protection locked="false" hidden="false"/>
    </xf>
    <xf numFmtId="165" fontId="46" fillId="0" borderId="12" xfId="0" applyFont="true" applyBorder="true" applyAlignment="true" applyProtection="false">
      <alignment horizontal="center" vertical="center" textRotation="0" wrapText="true" indent="0" shrinkToFit="false"/>
      <protection locked="true" hidden="false"/>
    </xf>
    <xf numFmtId="165" fontId="6" fillId="0" borderId="12" xfId="0" applyFont="true" applyBorder="true" applyAlignment="true" applyProtection="false">
      <alignment horizontal="left" vertical="center" textRotation="0" wrapText="true" indent="4" shrinkToFit="false"/>
      <protection locked="true" hidden="false"/>
    </xf>
    <xf numFmtId="169" fontId="6" fillId="11" borderId="19" xfId="0" applyFont="true" applyBorder="true" applyAlignment="true" applyProtection="false">
      <alignment horizontal="right" vertical="center" textRotation="0" wrapText="true" indent="0" shrinkToFit="false"/>
      <protection locked="true" hidden="false"/>
    </xf>
    <xf numFmtId="164" fontId="55" fillId="11" borderId="13" xfId="0" applyFont="true" applyBorder="true" applyAlignment="true" applyProtection="false">
      <alignment horizontal="left" vertical="center" textRotation="0" wrapText="false" indent="0" shrinkToFit="false"/>
      <protection locked="true" hidden="false"/>
    </xf>
    <xf numFmtId="169" fontId="6" fillId="11" borderId="10" xfId="0" applyFont="true" applyBorder="true" applyAlignment="true" applyProtection="false">
      <alignment horizontal="right" vertical="center" textRotation="0" wrapText="true" indent="0" shrinkToFit="false"/>
      <protection locked="true" hidden="false"/>
    </xf>
    <xf numFmtId="174" fontId="6" fillId="0" borderId="30" xfId="0" applyFont="true" applyBorder="true" applyAlignment="true" applyProtection="false">
      <alignment horizontal="right" vertical="center" textRotation="0" wrapText="true" indent="0" shrinkToFit="false"/>
      <protection locked="true" hidden="false"/>
    </xf>
    <xf numFmtId="164" fontId="55" fillId="11" borderId="13" xfId="0" applyFont="true" applyBorder="true" applyAlignment="true" applyProtection="false">
      <alignment horizontal="left" vertical="center" textRotation="0" wrapText="false" indent="1" shrinkToFit="false"/>
      <protection locked="true" hidden="false"/>
    </xf>
    <xf numFmtId="174" fontId="26" fillId="11" borderId="19" xfId="0" applyFont="true" applyBorder="true" applyAlignment="true" applyProtection="false">
      <alignment horizontal="center" vertical="center" textRotation="0" wrapText="true" indent="0" shrinkToFit="false"/>
      <protection locked="true" hidden="false"/>
    </xf>
    <xf numFmtId="164" fontId="55" fillId="11" borderId="13" xfId="0" applyFont="true" applyBorder="true" applyAlignment="true" applyProtection="false">
      <alignment horizontal="general" vertical="center" textRotation="0" wrapText="true" indent="0" shrinkToFit="false"/>
      <protection locked="true" hidden="false"/>
    </xf>
    <xf numFmtId="164" fontId="55" fillId="11" borderId="10" xfId="0" applyFont="true" applyBorder="true" applyAlignment="true" applyProtection="false">
      <alignment horizontal="general" vertical="center" textRotation="0" wrapText="true" indent="0" shrinkToFit="false"/>
      <protection locked="true" hidden="false"/>
    </xf>
    <xf numFmtId="164" fontId="26" fillId="0" borderId="17" xfId="0" applyFont="true" applyBorder="true" applyAlignment="true" applyProtection="false">
      <alignment horizontal="general" vertical="top" textRotation="0" wrapText="false" indent="0" shrinkToFit="false"/>
      <protection locked="true" hidden="false"/>
    </xf>
    <xf numFmtId="165" fontId="88" fillId="0" borderId="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left" vertical="center" textRotation="0" wrapText="true" indent="1" shrinkToFit="false"/>
      <protection locked="true" hidden="false"/>
    </xf>
    <xf numFmtId="165" fontId="26" fillId="0" borderId="0" xfId="0" applyFont="true" applyBorder="true" applyAlignment="true" applyProtection="false">
      <alignment horizontal="left" vertical="center" textRotation="0" wrapText="true" indent="4" shrinkToFit="false"/>
      <protection locked="true" hidden="false"/>
    </xf>
    <xf numFmtId="165" fontId="26" fillId="0" borderId="17" xfId="0" applyFont="true" applyBorder="true" applyAlignment="true" applyProtection="false">
      <alignment horizontal="left" vertical="center" textRotation="0" wrapText="true" indent="1" shrinkToFit="false"/>
      <protection locked="true" hidden="false"/>
    </xf>
    <xf numFmtId="174" fontId="26" fillId="0" borderId="12" xfId="0" applyFont="true" applyBorder="true" applyAlignment="true" applyProtection="false">
      <alignment horizontal="right" vertical="center" textRotation="0" wrapText="true" indent="0" shrinkToFit="false"/>
      <protection locked="true" hidden="false"/>
    </xf>
    <xf numFmtId="169" fontId="26" fillId="0" borderId="12" xfId="0" applyFont="true" applyBorder="true" applyAlignment="true" applyProtection="false">
      <alignment horizontal="right" vertical="center" textRotation="0" wrapText="true" indent="0" shrinkToFit="false"/>
      <protection locked="true" hidden="false"/>
    </xf>
    <xf numFmtId="173" fontId="26" fillId="0" borderId="12" xfId="0" applyFont="true" applyBorder="true" applyAlignment="true" applyProtection="false">
      <alignment horizontal="center" vertical="center" textRotation="0" wrapText="true" indent="0" shrinkToFit="false"/>
      <protection locked="true" hidden="false"/>
    </xf>
    <xf numFmtId="164" fontId="26" fillId="0" borderId="12" xfId="0" applyFont="true" applyBorder="true" applyAlignment="true" applyProtection="false">
      <alignment horizontal="center" vertical="center" textRotation="0" wrapText="true" indent="0" shrinkToFit="false"/>
      <protection locked="true" hidden="false"/>
    </xf>
    <xf numFmtId="165" fontId="24" fillId="0" borderId="0" xfId="0" applyFont="true" applyBorder="true" applyAlignment="true" applyProtection="false">
      <alignment horizontal="left" vertical="center" textRotation="0" wrapText="false" indent="0" shrinkToFit="false"/>
      <protection locked="true" hidden="false"/>
    </xf>
    <xf numFmtId="164" fontId="24" fillId="0" borderId="0" xfId="0" applyFont="true" applyBorder="true" applyAlignment="true" applyProtection="false">
      <alignment horizontal="left" vertical="center" textRotation="0" wrapText="false" indent="0" shrinkToFit="false"/>
      <protection locked="true" hidden="false"/>
    </xf>
    <xf numFmtId="165" fontId="85" fillId="0" borderId="0" xfId="0" applyFont="true" applyBorder="true" applyAlignment="true" applyProtection="false">
      <alignment horizontal="left" vertical="center" textRotation="0" wrapText="false" indent="0" shrinkToFit="false"/>
      <protection locked="true" hidden="false"/>
    </xf>
    <xf numFmtId="165" fontId="26" fillId="0" borderId="0" xfId="0" applyFont="true" applyBorder="true" applyAlignment="true" applyProtection="false">
      <alignment horizontal="left" vertical="center" textRotation="0" wrapText="false" indent="0" shrinkToFit="false"/>
      <protection locked="true" hidden="false"/>
    </xf>
    <xf numFmtId="165" fontId="85" fillId="9" borderId="0" xfId="0" applyFont="true" applyBorder="true" applyAlignment="true" applyProtection="false">
      <alignment horizontal="general" vertical="center" textRotation="0" wrapText="true" indent="0" shrinkToFit="false"/>
      <protection locked="true" hidden="false"/>
    </xf>
    <xf numFmtId="165" fontId="0" fillId="9" borderId="19" xfId="0" applyFont="true" applyBorder="true" applyAlignment="true" applyProtection="false">
      <alignment horizontal="center" vertical="center" textRotation="0" wrapText="true" indent="0" shrinkToFit="false"/>
      <protection locked="true" hidden="false"/>
    </xf>
    <xf numFmtId="165" fontId="6" fillId="9" borderId="13" xfId="0" applyFont="true" applyBorder="true" applyAlignment="true" applyProtection="false">
      <alignment horizontal="center" vertical="center" textRotation="0" wrapText="true" indent="0" shrinkToFit="false"/>
      <protection locked="true" hidden="false"/>
    </xf>
    <xf numFmtId="165" fontId="0" fillId="9" borderId="25" xfId="0" applyFont="true" applyBorder="true" applyAlignment="true" applyProtection="false">
      <alignment horizontal="center" vertical="center" textRotation="0" wrapText="true" indent="0" shrinkToFit="false"/>
      <protection locked="true" hidden="false"/>
    </xf>
    <xf numFmtId="171" fontId="6" fillId="7" borderId="12" xfId="0" applyFont="true" applyBorder="true" applyAlignment="true" applyProtection="false">
      <alignment horizontal="center" vertical="center" textRotation="0" wrapText="true" indent="0" shrinkToFit="false"/>
      <protection locked="true" hidden="false"/>
    </xf>
    <xf numFmtId="165" fontId="6" fillId="8" borderId="12" xfId="0" applyFont="true" applyBorder="true" applyAlignment="true" applyProtection="true">
      <alignment horizontal="center" vertical="center" textRotation="0" wrapText="true" indent="0" shrinkToFit="false"/>
      <protection locked="false" hidden="false"/>
    </xf>
    <xf numFmtId="165" fontId="6" fillId="9" borderId="18" xfId="0" applyFont="true" applyBorder="true" applyAlignment="true" applyProtection="false">
      <alignment horizontal="center" vertical="center" textRotation="0" wrapText="true" indent="0" shrinkToFit="false"/>
      <protection locked="true" hidden="false"/>
    </xf>
    <xf numFmtId="165" fontId="6" fillId="0" borderId="12" xfId="0" applyFont="true" applyBorder="true" applyAlignment="true" applyProtection="false">
      <alignment horizontal="left" vertical="center" textRotation="0" wrapText="true" indent="1" shrinkToFit="false"/>
      <protection locked="true" hidden="false"/>
    </xf>
    <xf numFmtId="164" fontId="6" fillId="11" borderId="13" xfId="0" applyFont="true" applyBorder="true" applyAlignment="true" applyProtection="false">
      <alignment horizontal="center" vertical="center" textRotation="0" wrapText="true" indent="0" shrinkToFit="false"/>
      <protection locked="true" hidden="false"/>
    </xf>
    <xf numFmtId="164" fontId="48" fillId="0" borderId="17" xfId="0" applyFont="true" applyBorder="true" applyAlignment="true" applyProtection="false">
      <alignment horizontal="general" vertical="top" textRotation="0" wrapText="false" indent="0" shrinkToFit="false"/>
      <protection locked="true" hidden="false"/>
    </xf>
    <xf numFmtId="165" fontId="24" fillId="0" borderId="13" xfId="0" applyFont="true" applyBorder="true" applyAlignment="true" applyProtection="false">
      <alignment horizontal="center" vertical="center" textRotation="0" wrapText="false" indent="0" shrinkToFit="false"/>
      <protection locked="true" hidden="false"/>
    </xf>
    <xf numFmtId="165" fontId="6" fillId="5" borderId="12" xfId="0" applyFont="true" applyBorder="true" applyAlignment="true" applyProtection="true">
      <alignment horizontal="left" vertical="center" textRotation="0" wrapText="true" indent="0" shrinkToFit="false"/>
      <protection locked="false" hidden="false"/>
    </xf>
    <xf numFmtId="164" fontId="6" fillId="5" borderId="12" xfId="0" applyFont="true" applyBorder="true" applyAlignment="true" applyProtection="true">
      <alignment horizontal="left" vertical="center" textRotation="0" wrapText="true" indent="6" shrinkToFit="false"/>
      <protection locked="false" hidden="false"/>
    </xf>
    <xf numFmtId="174" fontId="6" fillId="0" borderId="22" xfId="0" applyFont="true" applyBorder="true" applyAlignment="true" applyProtection="false">
      <alignment horizontal="right" vertical="center" textRotation="0" wrapText="true" indent="0" shrinkToFit="false"/>
      <protection locked="true" hidden="false"/>
    </xf>
    <xf numFmtId="171" fontId="56" fillId="0" borderId="12" xfId="0" applyFont="true" applyBorder="true" applyAlignment="true" applyProtection="false">
      <alignment horizontal="left" vertical="top" textRotation="0" wrapText="true" indent="0" shrinkToFit="false"/>
      <protection locked="true" hidden="false"/>
    </xf>
    <xf numFmtId="174" fontId="6" fillId="0" borderId="28" xfId="0" applyFont="true" applyBorder="true" applyAlignment="true" applyProtection="false">
      <alignment horizontal="right" vertical="center" textRotation="0" wrapText="true" indent="0" shrinkToFit="false"/>
      <protection locked="true" hidden="false"/>
    </xf>
    <xf numFmtId="164" fontId="0" fillId="11" borderId="29" xfId="0" applyFont="true" applyBorder="true" applyAlignment="true" applyProtection="false">
      <alignment horizontal="center" vertical="center" textRotation="0" wrapText="true" indent="0" shrinkToFit="false"/>
      <protection locked="true" hidden="false"/>
    </xf>
    <xf numFmtId="164" fontId="55" fillId="11" borderId="10" xfId="0" applyFont="true" applyBorder="true" applyAlignment="true" applyProtection="false">
      <alignment horizontal="left" vertical="center" textRotation="0" wrapText="false" indent="3" shrinkToFit="false"/>
      <protection locked="true" hidden="false"/>
    </xf>
    <xf numFmtId="165" fontId="89" fillId="0" borderId="0" xfId="0" applyFont="true" applyBorder="true" applyAlignment="true" applyProtection="false">
      <alignment horizontal="general" vertical="center" textRotation="0" wrapText="true" indent="0" shrinkToFit="false"/>
      <protection locked="true" hidden="false"/>
    </xf>
    <xf numFmtId="165" fontId="36" fillId="0" borderId="25" xfId="0" applyFont="true" applyBorder="true" applyAlignment="true" applyProtection="false">
      <alignment horizontal="center" vertical="center" textRotation="0" wrapText="true" indent="0" shrinkToFit="false"/>
      <protection locked="true" hidden="false"/>
    </xf>
    <xf numFmtId="165" fontId="6" fillId="7" borderId="10" xfId="0" applyFont="true" applyBorder="true" applyAlignment="true" applyProtection="false">
      <alignment horizontal="left" vertical="center" textRotation="0" wrapText="true" indent="0" shrinkToFit="false"/>
      <protection locked="true" hidden="false"/>
    </xf>
    <xf numFmtId="171" fontId="6" fillId="7" borderId="19" xfId="0" applyFont="true" applyBorder="true" applyAlignment="true" applyProtection="false">
      <alignment horizontal="left" vertical="center" textRotation="0" wrapText="true" indent="0" shrinkToFit="false"/>
      <protection locked="true" hidden="false"/>
    </xf>
    <xf numFmtId="165" fontId="26" fillId="0" borderId="10" xfId="0" applyFont="true" applyBorder="true" applyAlignment="true" applyProtection="false">
      <alignment horizontal="left"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6" shrinkToFit="false"/>
      <protection locked="false" hidden="false"/>
    </xf>
    <xf numFmtId="164" fontId="6" fillId="5" borderId="25" xfId="0" applyFont="true" applyBorder="true" applyAlignment="true" applyProtection="true">
      <alignment horizontal="left" vertical="center" textRotation="0" wrapText="true" indent="6" shrinkToFit="false"/>
      <protection locked="false" hidden="false"/>
    </xf>
    <xf numFmtId="174" fontId="6" fillId="8" borderId="12" xfId="0" applyFont="true" applyBorder="true" applyAlignment="true" applyProtection="true">
      <alignment horizontal="left" vertical="center" textRotation="0" wrapText="true" indent="1" shrinkToFit="false"/>
      <protection locked="false" hidden="false"/>
    </xf>
    <xf numFmtId="165" fontId="6" fillId="0" borderId="0" xfId="0" applyFont="true" applyBorder="true" applyAlignment="true" applyProtection="false">
      <alignment horizontal="left" vertical="center" textRotation="0" wrapText="false" indent="0" shrinkToFit="false"/>
      <protection locked="true" hidden="false"/>
    </xf>
    <xf numFmtId="165" fontId="0" fillId="9" borderId="10" xfId="0" applyFont="true" applyBorder="true" applyAlignment="true" applyProtection="false">
      <alignment horizontal="center" vertical="center" textRotation="0" wrapText="true" indent="0" shrinkToFit="false"/>
      <protection locked="true" hidden="false"/>
    </xf>
    <xf numFmtId="165" fontId="0" fillId="9" borderId="15" xfId="0" applyFont="true" applyBorder="true" applyAlignment="true" applyProtection="false">
      <alignment horizontal="center" vertical="center" textRotation="0" wrapText="true" indent="0" shrinkToFit="false"/>
      <protection locked="true" hidden="false"/>
    </xf>
    <xf numFmtId="165" fontId="6" fillId="8" borderId="19" xfId="0" applyFont="true" applyBorder="true" applyAlignment="true" applyProtection="true">
      <alignment horizontal="center" vertical="center" textRotation="0" wrapText="true" indent="0" shrinkToFit="false"/>
      <protection locked="false" hidden="false"/>
    </xf>
    <xf numFmtId="165" fontId="6" fillId="9" borderId="29" xfId="0" applyFont="true" applyBorder="true" applyAlignment="true" applyProtection="false">
      <alignment horizontal="center" vertical="center" textRotation="0" wrapText="true" indent="0" shrinkToFit="false"/>
      <protection locked="true" hidden="false"/>
    </xf>
    <xf numFmtId="165" fontId="88" fillId="0" borderId="0" xfId="0" applyFont="true" applyBorder="true" applyAlignment="true" applyProtection="false">
      <alignment horizontal="general" vertical="center" textRotation="0" wrapText="true" indent="0" shrinkToFit="false"/>
      <protection locked="true" hidden="false"/>
    </xf>
    <xf numFmtId="165" fontId="88" fillId="9" borderId="0" xfId="0" applyFont="true" applyBorder="true" applyAlignment="true" applyProtection="false">
      <alignment horizontal="center" vertical="center" textRotation="0" wrapText="true" indent="0" shrinkToFit="false"/>
      <protection locked="true" hidden="false"/>
    </xf>
    <xf numFmtId="165" fontId="26" fillId="9" borderId="12" xfId="0" applyFont="true" applyBorder="true" applyAlignment="true" applyProtection="false">
      <alignment horizontal="left" vertical="center" textRotation="0" wrapText="true" indent="3" shrinkToFit="false"/>
      <protection locked="true" hidden="false"/>
    </xf>
    <xf numFmtId="174" fontId="6" fillId="8" borderId="12" xfId="0" applyFont="true" applyBorder="true" applyAlignment="true" applyProtection="true">
      <alignment horizontal="center" vertical="center" textRotation="0" wrapText="true" indent="0" shrinkToFit="false"/>
      <protection locked="false" hidden="false"/>
    </xf>
    <xf numFmtId="164" fontId="6" fillId="10" borderId="19" xfId="0" applyFont="true" applyBorder="true" applyAlignment="true" applyProtection="false">
      <alignment horizontal="center" vertical="center" textRotation="0" wrapText="true" indent="0" shrinkToFit="false"/>
      <protection locked="true" hidden="false"/>
    </xf>
    <xf numFmtId="164" fontId="55" fillId="11" borderId="21" xfId="0" applyFont="true" applyBorder="true" applyAlignment="true" applyProtection="false">
      <alignment horizontal="left" vertical="center" textRotation="0" wrapText="false" indent="0" shrinkToFit="false"/>
      <protection locked="true" hidden="false"/>
    </xf>
    <xf numFmtId="164" fontId="6" fillId="9" borderId="12" xfId="44" applyFont="true" applyBorder="true" applyAlignment="true" applyProtection="false">
      <alignment horizontal="center" vertical="center" textRotation="0" wrapText="true" indent="0" shrinkToFit="false"/>
      <protection locked="true" hidden="false"/>
    </xf>
    <xf numFmtId="164" fontId="21" fillId="0" borderId="0" xfId="0" applyFont="true" applyBorder="true" applyAlignment="true" applyProtection="false">
      <alignment horizontal="center" vertical="center" textRotation="0" wrapText="true" indent="0" shrinkToFit="false"/>
      <protection locked="true" hidden="false"/>
    </xf>
    <xf numFmtId="165" fontId="53" fillId="0" borderId="0" xfId="0" applyFont="true" applyBorder="true" applyAlignment="true" applyProtection="false">
      <alignment horizontal="general" vertical="center" textRotation="0" wrapText="true" indent="0" shrinkToFit="false"/>
      <protection locked="true" hidden="false"/>
    </xf>
    <xf numFmtId="171" fontId="6" fillId="0" borderId="31" xfId="0" applyFont="true" applyBorder="true" applyAlignment="true" applyProtection="false">
      <alignment horizontal="center"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2" shrinkToFit="false"/>
      <protection locked="false" hidden="false"/>
    </xf>
    <xf numFmtId="165" fontId="36" fillId="0" borderId="12" xfId="0" applyFont="true" applyBorder="true" applyAlignment="true" applyProtection="false">
      <alignment horizontal="general" vertical="center" textRotation="0" wrapText="true" indent="0" shrinkToFit="false"/>
      <protection locked="true" hidden="false"/>
    </xf>
    <xf numFmtId="165" fontId="90" fillId="0" borderId="0" xfId="0" applyFont="true" applyBorder="true" applyAlignment="true" applyProtection="false">
      <alignment horizontal="general" vertical="center" textRotation="0" wrapText="true" indent="0" shrinkToFit="false"/>
      <protection locked="true" hidden="false"/>
    </xf>
    <xf numFmtId="165" fontId="26" fillId="0" borderId="31" xfId="0" applyFont="true" applyBorder="true" applyAlignment="true" applyProtection="false">
      <alignment horizontal="center" vertical="center" textRotation="0" wrapText="true" indent="0" shrinkToFit="false"/>
      <protection locked="true" hidden="false"/>
    </xf>
    <xf numFmtId="165" fontId="26" fillId="0" borderId="12" xfId="0" applyFont="true" applyBorder="true" applyAlignment="true" applyProtection="false">
      <alignment horizontal="left" vertical="center" textRotation="0" wrapText="true" indent="2" shrinkToFit="false"/>
      <protection locked="true" hidden="false"/>
    </xf>
    <xf numFmtId="165" fontId="6" fillId="0" borderId="12" xfId="0" applyFont="true" applyBorder="true" applyAlignment="true" applyProtection="false">
      <alignment horizontal="left" vertical="center" textRotation="0" wrapText="true" indent="3" shrinkToFit="false"/>
      <protection locked="true" hidden="false"/>
    </xf>
    <xf numFmtId="164" fontId="6" fillId="8" borderId="12" xfId="0" applyFont="true" applyBorder="true" applyAlignment="true" applyProtection="true">
      <alignment horizontal="center" vertical="center" textRotation="0" wrapText="true" indent="0" shrinkToFit="false"/>
      <protection locked="false" hidden="false"/>
    </xf>
    <xf numFmtId="164" fontId="6" fillId="0" borderId="0" xfId="0" applyFont="true" applyBorder="true" applyAlignment="true" applyProtection="false">
      <alignment horizontal="center" vertical="top" textRotation="0" wrapText="true" indent="0" shrinkToFit="false"/>
      <protection locked="true" hidden="false"/>
    </xf>
    <xf numFmtId="165" fontId="6" fillId="0" borderId="19" xfId="0" applyFont="true" applyBorder="true" applyAlignment="true" applyProtection="false">
      <alignment horizontal="general" vertical="top" textRotation="0" wrapText="true" indent="0" shrinkToFit="false"/>
      <protection locked="true" hidden="false"/>
    </xf>
    <xf numFmtId="170" fontId="6" fillId="5" borderId="12" xfId="0" applyFont="true" applyBorder="true" applyAlignment="true" applyProtection="true">
      <alignment horizontal="right" vertical="center" textRotation="0" wrapText="true" indent="0" shrinkToFit="false"/>
      <protection locked="false" hidden="false"/>
    </xf>
    <xf numFmtId="165" fontId="6" fillId="0" borderId="15"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left" vertical="center" textRotation="0" wrapText="true" indent="3" shrinkToFit="false"/>
      <protection locked="true" hidden="false"/>
    </xf>
    <xf numFmtId="165" fontId="84" fillId="9" borderId="0" xfId="0" applyFont="true" applyBorder="true" applyAlignment="true" applyProtection="false">
      <alignment horizontal="right" vertical="center" textRotation="0" wrapText="false" indent="0" shrinkToFit="false"/>
      <protection locked="true" hidden="false"/>
    </xf>
    <xf numFmtId="165" fontId="6" fillId="0" borderId="13" xfId="0" applyFont="true" applyBorder="true" applyAlignment="true" applyProtection="false">
      <alignment horizontal="general" vertical="center" textRotation="0" wrapText="true" indent="0" shrinkToFit="false"/>
      <protection locked="true" hidden="false"/>
    </xf>
    <xf numFmtId="165" fontId="6" fillId="0" borderId="19" xfId="0" applyFont="true" applyBorder="true" applyAlignment="true" applyProtection="false">
      <alignment horizontal="right" vertical="center" textRotation="0" wrapText="true" indent="1" shrinkToFit="false"/>
      <protection locked="true" hidden="false"/>
    </xf>
    <xf numFmtId="171" fontId="6" fillId="7" borderId="13" xfId="0" applyFont="true" applyBorder="true" applyAlignment="true" applyProtection="false">
      <alignment horizontal="left" vertical="top" textRotation="0" wrapText="true" indent="0" shrinkToFit="false"/>
      <protection locked="true" hidden="false"/>
    </xf>
    <xf numFmtId="165" fontId="6" fillId="0" borderId="13" xfId="0" applyFont="true" applyBorder="true" applyAlignment="true" applyProtection="false">
      <alignment horizontal="right" vertical="center" textRotation="0" wrapText="true" indent="0" shrinkToFit="false"/>
      <protection locked="true" hidden="false"/>
    </xf>
    <xf numFmtId="165" fontId="6" fillId="0" borderId="10" xfId="0" applyFont="true" applyBorder="true" applyAlignment="true" applyProtection="false">
      <alignment horizontal="right" vertical="center" textRotation="0" wrapText="true" indent="1" shrinkToFit="false"/>
      <protection locked="true" hidden="false"/>
    </xf>
    <xf numFmtId="171" fontId="6" fillId="0" borderId="12" xfId="0" applyFont="true" applyBorder="true" applyAlignment="true" applyProtection="false">
      <alignment horizontal="left" vertical="center" textRotation="0" wrapText="true" indent="0" shrinkToFit="false"/>
      <protection locked="true" hidden="false"/>
    </xf>
    <xf numFmtId="174" fontId="6" fillId="8" borderId="12" xfId="0" applyFont="true" applyBorder="true" applyAlignment="true" applyProtection="true">
      <alignment horizontal="right" vertical="center" textRotation="0" wrapText="true" indent="0" shrinkToFit="false"/>
      <protection locked="false" hidden="false"/>
    </xf>
    <xf numFmtId="174" fontId="6" fillId="7" borderId="12" xfId="0" applyFont="true" applyBorder="true" applyAlignment="true" applyProtection="false">
      <alignment horizontal="right" vertical="center" textRotation="0" wrapText="true" indent="0" shrinkToFit="false"/>
      <protection locked="true" hidden="false"/>
    </xf>
    <xf numFmtId="164" fontId="21" fillId="4" borderId="0" xfId="0" applyFont="true" applyBorder="true" applyAlignment="true" applyProtection="false">
      <alignment horizontal="center" vertical="center" textRotation="90" wrapText="true" indent="0" shrinkToFit="false"/>
      <protection locked="true" hidden="false"/>
    </xf>
    <xf numFmtId="171" fontId="48" fillId="0" borderId="0" xfId="0" applyFont="true" applyBorder="true" applyAlignment="true" applyProtection="false">
      <alignment horizontal="center" vertical="center" textRotation="0" wrapText="true" indent="0" shrinkToFit="false"/>
      <protection locked="true" hidden="false"/>
    </xf>
    <xf numFmtId="164" fontId="48" fillId="0" borderId="0" xfId="0" applyFont="true" applyBorder="true" applyAlignment="true" applyProtection="false">
      <alignment horizontal="center" vertical="center" textRotation="0" wrapText="true" indent="0" shrinkToFit="false"/>
      <protection locked="true" hidden="false"/>
    </xf>
    <xf numFmtId="164" fontId="48" fillId="0" borderId="31" xfId="0" applyFont="true" applyBorder="true" applyAlignment="true" applyProtection="false">
      <alignment horizontal="center" vertical="center" textRotation="0" wrapText="true" indent="0" shrinkToFit="false"/>
      <protection locked="true" hidden="false"/>
    </xf>
    <xf numFmtId="165" fontId="48" fillId="0" borderId="12" xfId="0" applyFont="true" applyBorder="true" applyAlignment="true" applyProtection="false">
      <alignment horizontal="left" vertical="center" textRotation="0" wrapText="true" indent="2" shrinkToFit="false"/>
      <protection locked="true" hidden="false"/>
    </xf>
    <xf numFmtId="165" fontId="48" fillId="0" borderId="12" xfId="0" applyFont="true" applyBorder="true" applyAlignment="true" applyProtection="false">
      <alignment horizontal="center" vertical="center" textRotation="0" wrapText="true" indent="0" shrinkToFit="false"/>
      <protection locked="true" hidden="false"/>
    </xf>
    <xf numFmtId="165" fontId="48" fillId="0" borderId="12" xfId="0" applyFont="true" applyBorder="true" applyAlignment="true" applyProtection="false">
      <alignment horizontal="general" vertical="center" textRotation="0" wrapText="true" indent="0" shrinkToFit="false"/>
      <protection locked="true" hidden="false"/>
    </xf>
    <xf numFmtId="165" fontId="91" fillId="0" borderId="0" xfId="0" applyFont="true" applyBorder="true" applyAlignment="true" applyProtection="false">
      <alignment horizontal="general" vertical="center" textRotation="0" wrapText="true" indent="0" shrinkToFit="false"/>
      <protection locked="true" hidden="false"/>
    </xf>
    <xf numFmtId="165" fontId="48" fillId="0" borderId="31" xfId="0" applyFont="true" applyBorder="true" applyAlignment="true" applyProtection="false">
      <alignment horizontal="center" vertical="center" textRotation="0" wrapText="true" indent="0" shrinkToFit="false"/>
      <protection locked="true" hidden="false"/>
    </xf>
    <xf numFmtId="165" fontId="48" fillId="0" borderId="12" xfId="0" applyFont="true" applyBorder="true" applyAlignment="true" applyProtection="false">
      <alignment horizontal="left" vertical="center" textRotation="0" wrapText="true" indent="3" shrinkToFit="false"/>
      <protection locked="true" hidden="false"/>
    </xf>
    <xf numFmtId="174" fontId="48" fillId="0" borderId="12" xfId="0" applyFont="true" applyBorder="true" applyAlignment="true" applyProtection="false">
      <alignment horizontal="right" vertical="center" textRotation="0" wrapText="true" indent="0" shrinkToFit="false"/>
      <protection locked="true" hidden="false"/>
    </xf>
    <xf numFmtId="164" fontId="6" fillId="11" borderId="13" xfId="0" applyFont="true" applyBorder="true" applyAlignment="true" applyProtection="false">
      <alignment horizontal="general" vertical="center" textRotation="0" wrapText="true" indent="0" shrinkToFit="false"/>
      <protection locked="true" hidden="false"/>
    </xf>
    <xf numFmtId="165" fontId="6" fillId="11" borderId="10" xfId="0" applyFont="true" applyBorder="true" applyAlignment="true" applyProtection="false">
      <alignment horizontal="general" vertical="center" textRotation="0" wrapText="true" indent="0" shrinkToFit="false"/>
      <protection locked="true" hidden="false"/>
    </xf>
    <xf numFmtId="165" fontId="24" fillId="11" borderId="19" xfId="0" applyFont="true" applyBorder="true" applyAlignment="true" applyProtection="false">
      <alignment horizontal="general" vertical="center" textRotation="0" wrapText="true" indent="0" shrinkToFit="false"/>
      <protection locked="true" hidden="false"/>
    </xf>
    <xf numFmtId="171" fontId="6" fillId="0" borderId="12" xfId="0" applyFont="true" applyBorder="true" applyAlignment="true" applyProtection="false">
      <alignment horizontal="left" vertical="center" textRotation="0" wrapText="true" indent="2" shrinkToFit="false"/>
      <protection locked="true" hidden="false"/>
    </xf>
    <xf numFmtId="172" fontId="6" fillId="0" borderId="0" xfId="0" applyFont="true" applyBorder="true" applyAlignment="true" applyProtection="false">
      <alignment horizontal="center" vertical="center" textRotation="0" wrapText="true" indent="0" shrinkToFit="false"/>
      <protection locked="true" hidden="false"/>
    </xf>
    <xf numFmtId="164" fontId="21" fillId="4" borderId="0" xfId="0" applyFont="true" applyBorder="true" applyAlignment="true" applyProtection="false">
      <alignment horizontal="center" vertical="center" textRotation="0" wrapText="true" indent="0" shrinkToFit="false"/>
      <protection locked="true" hidden="false"/>
    </xf>
    <xf numFmtId="164" fontId="32" fillId="0" borderId="0" xfId="0" applyFont="true" applyBorder="true" applyAlignment="true" applyProtection="false">
      <alignment horizontal="center" vertical="center" textRotation="0" wrapText="false" indent="0" shrinkToFit="false"/>
      <protection locked="true" hidden="false"/>
    </xf>
    <xf numFmtId="170" fontId="6" fillId="8" borderId="12" xfId="0" applyFont="true" applyBorder="true" applyAlignment="true" applyProtection="true">
      <alignment horizontal="right" vertical="center" textRotation="0" wrapText="true" indent="0" shrinkToFit="false"/>
      <protection locked="false" hidden="false"/>
    </xf>
    <xf numFmtId="164" fontId="21" fillId="0" borderId="0" xfId="0" applyFont="true" applyBorder="true" applyAlignment="true" applyProtection="false">
      <alignment horizontal="left" vertical="center" textRotation="0" wrapText="true" indent="0" shrinkToFit="false"/>
      <protection locked="true" hidden="false"/>
    </xf>
    <xf numFmtId="165" fontId="53" fillId="0" borderId="0" xfId="0" applyFont="true" applyBorder="true" applyAlignment="true" applyProtection="false">
      <alignment horizontal="left" vertical="center" textRotation="0" wrapText="true" indent="0" shrinkToFit="false"/>
      <protection locked="true" hidden="false"/>
    </xf>
    <xf numFmtId="174" fontId="6" fillId="7" borderId="25" xfId="0" applyFont="true" applyBorder="true" applyAlignment="true" applyProtection="false">
      <alignment horizontal="right" vertical="center" textRotation="0" wrapText="true" indent="0" shrinkToFit="false"/>
      <protection locked="true" hidden="false"/>
    </xf>
    <xf numFmtId="165" fontId="26" fillId="0" borderId="12" xfId="0" applyFont="true" applyBorder="true" applyAlignment="true" applyProtection="false">
      <alignment horizontal="left" vertical="center" textRotation="0" wrapText="true" indent="3" shrinkToFit="false"/>
      <protection locked="true" hidden="false"/>
    </xf>
    <xf numFmtId="164" fontId="26" fillId="0" borderId="12" xfId="0" applyFont="true" applyBorder="true" applyAlignment="true" applyProtection="false">
      <alignment horizontal="general" vertical="center" textRotation="0" wrapText="true" indent="0" shrinkToFit="false"/>
      <protection locked="true" hidden="false"/>
    </xf>
    <xf numFmtId="165" fontId="26" fillId="0" borderId="25" xfId="0" applyFont="true" applyBorder="true" applyAlignment="true" applyProtection="false">
      <alignment horizontal="general" vertical="top" textRotation="0" wrapText="true" indent="0" shrinkToFit="false"/>
      <protection locked="true" hidden="false"/>
    </xf>
    <xf numFmtId="171" fontId="6" fillId="0" borderId="13" xfId="0" applyFont="true" applyBorder="true" applyAlignment="true" applyProtection="false">
      <alignment horizontal="left" vertical="center" textRotation="0" wrapText="true" indent="2" shrinkToFit="false"/>
      <protection locked="true" hidden="false"/>
    </xf>
    <xf numFmtId="174" fontId="6" fillId="8" borderId="19" xfId="0" applyFont="true" applyBorder="true" applyAlignment="true" applyProtection="true">
      <alignment horizontal="right" vertical="center" textRotation="0" wrapText="true" indent="0" shrinkToFit="false"/>
      <protection locked="false" hidden="false"/>
    </xf>
    <xf numFmtId="171" fontId="6" fillId="0" borderId="13" xfId="0" applyFont="true" applyBorder="true" applyAlignment="true" applyProtection="false">
      <alignment horizontal="left" vertical="center" textRotation="0" wrapText="true" indent="1" shrinkToFit="false"/>
      <protection locked="true" hidden="false"/>
    </xf>
    <xf numFmtId="171" fontId="6" fillId="0" borderId="13" xfId="0" applyFont="true" applyBorder="true" applyAlignment="true" applyProtection="false">
      <alignment horizontal="left" vertical="center" textRotation="0" wrapText="true" indent="0" shrinkToFit="false"/>
      <protection locked="true" hidden="false"/>
    </xf>
    <xf numFmtId="164" fontId="37" fillId="5" borderId="19" xfId="0" applyFont="true" applyBorder="true" applyAlignment="true" applyProtection="true">
      <alignment horizontal="left" vertical="center" textRotation="0" wrapText="true" indent="0" shrinkToFit="false"/>
      <protection locked="false" hidden="false"/>
    </xf>
    <xf numFmtId="164" fontId="37" fillId="5" borderId="12" xfId="0" applyFont="true" applyBorder="true" applyAlignment="true" applyProtection="true">
      <alignment horizontal="left" vertical="center" textRotation="0" wrapText="true" indent="0" shrinkToFit="false"/>
      <protection locked="false" hidden="false"/>
    </xf>
    <xf numFmtId="170" fontId="6" fillId="8" borderId="19" xfId="0" applyFont="true" applyBorder="true" applyAlignment="true" applyProtection="true">
      <alignment horizontal="right" vertical="center" textRotation="0" wrapText="true" indent="0" shrinkToFit="false"/>
      <protection locked="false" hidden="false"/>
    </xf>
    <xf numFmtId="170" fontId="6" fillId="7" borderId="19" xfId="0" applyFont="true" applyBorder="true" applyAlignment="true" applyProtection="false">
      <alignment horizontal="right" vertical="center" textRotation="0" wrapText="true" indent="0" shrinkToFit="false"/>
      <protection locked="true" hidden="false"/>
    </xf>
    <xf numFmtId="170" fontId="6" fillId="7" borderId="12" xfId="0" applyFont="true" applyBorder="true" applyAlignment="true" applyProtection="false">
      <alignment horizontal="right" vertical="center" textRotation="0" wrapText="true" indent="0" shrinkToFit="false"/>
      <protection locked="true" hidden="false"/>
    </xf>
    <xf numFmtId="174" fontId="6" fillId="8" borderId="29" xfId="0" applyFont="true" applyBorder="true" applyAlignment="true" applyProtection="true">
      <alignment horizontal="right" vertical="center" textRotation="0" wrapText="true" indent="0" shrinkToFit="false"/>
      <protection locked="false" hidden="false"/>
    </xf>
    <xf numFmtId="174" fontId="6" fillId="8" borderId="18" xfId="0" applyFont="true" applyBorder="true" applyAlignment="true" applyProtection="true">
      <alignment horizontal="right" vertical="center" textRotation="0" wrapText="true" indent="0" shrinkToFit="false"/>
      <protection locked="false" hidden="false"/>
    </xf>
    <xf numFmtId="165" fontId="26" fillId="0" borderId="30" xfId="0" applyFont="true" applyBorder="true" applyAlignment="true" applyProtection="false">
      <alignment horizontal="left" vertical="center" textRotation="0" wrapText="true" indent="1" shrinkToFit="false"/>
      <protection locked="true" hidden="false"/>
    </xf>
    <xf numFmtId="165" fontId="26" fillId="0" borderId="30" xfId="0" applyFont="true" applyBorder="true" applyAlignment="true" applyProtection="false">
      <alignment horizontal="center" vertical="center" textRotation="0" wrapText="true" indent="0" shrinkToFit="false"/>
      <protection locked="true" hidden="false"/>
    </xf>
    <xf numFmtId="165" fontId="26" fillId="0" borderId="25" xfId="0" applyFont="true" applyBorder="true" applyAlignment="true" applyProtection="false">
      <alignment horizontal="general" vertical="center" textRotation="0" wrapText="true" indent="0" shrinkToFit="false"/>
      <protection locked="true" hidden="false"/>
    </xf>
    <xf numFmtId="164" fontId="6" fillId="11" borderId="22" xfId="0" applyFont="true" applyBorder="true" applyAlignment="true" applyProtection="false">
      <alignment horizontal="general" vertical="center" textRotation="0" wrapText="true" indent="0" shrinkToFit="false"/>
      <protection locked="true" hidden="false"/>
    </xf>
    <xf numFmtId="164" fontId="55" fillId="11" borderId="14" xfId="0" applyFont="true" applyBorder="true" applyAlignment="true" applyProtection="false">
      <alignment horizontal="left" vertical="center" textRotation="0" wrapText="false" indent="1" shrinkToFit="false"/>
      <protection locked="true" hidden="false"/>
    </xf>
    <xf numFmtId="165" fontId="6" fillId="0" borderId="18" xfId="0" applyFont="true" applyBorder="true" applyAlignment="true" applyProtection="false">
      <alignment horizontal="general" vertical="top" textRotation="0" wrapText="true" indent="0" shrinkToFit="false"/>
      <protection locked="true" hidden="false"/>
    </xf>
    <xf numFmtId="165" fontId="6" fillId="0" borderId="15" xfId="0" applyFont="true" applyBorder="true" applyAlignment="true" applyProtection="false">
      <alignment horizontal="center" vertical="center" textRotation="0" wrapText="true" indent="0" shrinkToFit="false"/>
      <protection locked="true" hidden="false"/>
    </xf>
    <xf numFmtId="170" fontId="6" fillId="8" borderId="25" xfId="0" applyFont="true" applyBorder="true" applyAlignment="true" applyProtection="true">
      <alignment horizontal="right" vertical="center" textRotation="0" wrapText="true" indent="0" shrinkToFit="false"/>
      <protection locked="false" hidden="false"/>
    </xf>
    <xf numFmtId="165" fontId="26" fillId="0" borderId="18" xfId="0" applyFont="true" applyBorder="true" applyAlignment="true" applyProtection="false">
      <alignment horizontal="left" vertical="center" textRotation="0" wrapText="true" indent="1" shrinkToFit="false"/>
      <protection locked="true" hidden="false"/>
    </xf>
    <xf numFmtId="165" fontId="26" fillId="0" borderId="25" xfId="0" applyFont="true" applyBorder="true" applyAlignment="true" applyProtection="false">
      <alignment horizontal="center" vertical="center" textRotation="0" wrapText="true" indent="0" shrinkToFit="false"/>
      <protection locked="true" hidden="false"/>
    </xf>
    <xf numFmtId="165" fontId="26" fillId="0" borderId="25" xfId="0" applyFont="true" applyBorder="true" applyAlignment="true" applyProtection="false">
      <alignment horizontal="left" vertical="center" textRotation="0" wrapText="true" indent="1" shrinkToFit="false"/>
      <protection locked="true" hidden="false"/>
    </xf>
    <xf numFmtId="165" fontId="21" fillId="0" borderId="0" xfId="0" applyFont="true" applyBorder="true" applyAlignment="true" applyProtection="false">
      <alignment horizontal="general" vertical="center" textRotation="0" wrapText="true" indent="0" shrinkToFit="false"/>
      <protection locked="true" hidden="false"/>
    </xf>
    <xf numFmtId="164" fontId="22" fillId="0" borderId="0" xfId="0" applyFont="true" applyBorder="true" applyAlignment="true" applyProtection="false">
      <alignment horizontal="center" vertical="center" textRotation="0" wrapText="true" indent="0" shrinkToFit="false"/>
      <protection locked="true" hidden="false"/>
    </xf>
    <xf numFmtId="165" fontId="6" fillId="0" borderId="14" xfId="0" applyFont="true" applyBorder="true" applyAlignment="true" applyProtection="false">
      <alignment horizontal="general" vertical="center" textRotation="0" wrapText="true" indent="0" shrinkToFit="false"/>
      <protection locked="true" hidden="false"/>
    </xf>
    <xf numFmtId="165" fontId="6" fillId="0" borderId="21" xfId="0" applyFont="true" applyBorder="true" applyAlignment="true" applyProtection="false">
      <alignment horizontal="general" vertical="center" textRotation="0" wrapText="true" indent="0" shrinkToFit="false"/>
      <protection locked="true" hidden="false"/>
    </xf>
    <xf numFmtId="165" fontId="32" fillId="0" borderId="0"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5" fontId="48" fillId="0" borderId="0" xfId="0" applyFont="true" applyBorder="true" applyAlignment="true" applyProtection="false">
      <alignment horizontal="center" vertical="center" textRotation="0" wrapText="true" indent="0" shrinkToFit="false"/>
      <protection locked="true" hidden="false"/>
    </xf>
    <xf numFmtId="165" fontId="92" fillId="0" borderId="0" xfId="0" applyFont="true" applyBorder="true" applyAlignment="true" applyProtection="false">
      <alignment horizontal="center" vertical="center" textRotation="0" wrapText="true" indent="0" shrinkToFit="false"/>
      <protection locked="true" hidden="false"/>
    </xf>
    <xf numFmtId="165" fontId="93" fillId="9" borderId="0" xfId="0" applyFont="true" applyBorder="true" applyAlignment="true" applyProtection="false">
      <alignment horizontal="right" vertical="center" textRotation="0" wrapText="false" indent="0" shrinkToFit="false"/>
      <protection locked="true" hidden="false"/>
    </xf>
    <xf numFmtId="165" fontId="94" fillId="0" borderId="0" xfId="0" applyFont="true" applyBorder="true" applyAlignment="true" applyProtection="false">
      <alignment horizontal="general" vertical="center" textRotation="0" wrapText="true" indent="0" shrinkToFit="false"/>
      <protection locked="true" hidden="false"/>
    </xf>
    <xf numFmtId="177" fontId="32" fillId="0" borderId="0"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true" applyProtection="false">
      <alignment horizontal="general" vertical="top" textRotation="0" wrapText="false" indent="0" shrinkToFit="false"/>
      <protection locked="true" hidden="false"/>
    </xf>
    <xf numFmtId="165" fontId="0" fillId="0" borderId="12" xfId="0" applyFont="true" applyBorder="true" applyAlignment="true" applyProtection="false">
      <alignment horizontal="right" vertical="center" textRotation="0" wrapText="true" indent="1" shrinkToFit="false"/>
      <protection locked="true" hidden="false"/>
    </xf>
    <xf numFmtId="171" fontId="0" fillId="7" borderId="12" xfId="0" applyFont="true" applyBorder="true" applyAlignment="true" applyProtection="false">
      <alignment horizontal="left" vertical="center" textRotation="0" wrapText="true" indent="1" shrinkToFit="false"/>
      <protection locked="true" hidden="false"/>
    </xf>
    <xf numFmtId="165" fontId="6" fillId="0" borderId="19" xfId="0" applyFont="true" applyBorder="true" applyAlignment="true" applyProtection="false">
      <alignment horizontal="left" vertical="center" textRotation="0" wrapText="true" indent="1" shrinkToFit="false"/>
      <protection locked="true" hidden="false"/>
    </xf>
    <xf numFmtId="164" fontId="26" fillId="0" borderId="16" xfId="0" applyFont="true" applyBorder="true" applyAlignment="true" applyProtection="false">
      <alignment horizontal="general" vertical="top" textRotation="0" wrapText="false" indent="0" shrinkToFit="false"/>
      <protection locked="true" hidden="false"/>
    </xf>
    <xf numFmtId="165" fontId="24" fillId="0" borderId="0" xfId="0" applyFont="true" applyBorder="true" applyAlignment="true" applyProtection="false">
      <alignment horizontal="center" vertical="top" textRotation="0" wrapText="false" indent="0" shrinkToFit="false"/>
      <protection locked="true" hidden="false"/>
    </xf>
    <xf numFmtId="165" fontId="24" fillId="0" borderId="0" xfId="0" applyFont="true" applyBorder="true" applyAlignment="true" applyProtection="false">
      <alignment horizontal="general" vertical="top" textRotation="0" wrapText="false" indent="0" shrinkToFit="false"/>
      <protection locked="true" hidden="false"/>
    </xf>
    <xf numFmtId="165" fontId="54" fillId="0" borderId="0" xfId="0" applyFont="true" applyBorder="true" applyAlignment="true" applyProtection="false">
      <alignment horizontal="general" vertical="top" textRotation="0" wrapText="false" indent="0" shrinkToFit="false"/>
      <protection locked="true" hidden="false"/>
    </xf>
    <xf numFmtId="165" fontId="95" fillId="0" borderId="0" xfId="0" applyFont="true" applyBorder="true" applyAlignment="true" applyProtection="false">
      <alignment horizontal="general" vertical="top" textRotation="0" wrapText="false" indent="0" shrinkToFit="false"/>
      <protection locked="true" hidden="false"/>
    </xf>
    <xf numFmtId="165" fontId="6" fillId="0" borderId="18" xfId="0" applyFont="true" applyBorder="true" applyAlignment="true" applyProtection="false">
      <alignment horizontal="left" vertical="center" textRotation="0" wrapText="true" indent="0" shrinkToFit="false"/>
      <protection locked="true" hidden="false"/>
    </xf>
    <xf numFmtId="178" fontId="6" fillId="0" borderId="18" xfId="0" applyFont="true" applyBorder="true" applyAlignment="true" applyProtection="false">
      <alignment horizontal="center" vertical="center" textRotation="0" wrapText="true" indent="0" shrinkToFit="false"/>
      <protection locked="true" hidden="false"/>
    </xf>
    <xf numFmtId="165" fontId="26" fillId="0" borderId="16" xfId="0" applyFont="true" applyBorder="true" applyAlignment="true" applyProtection="false">
      <alignment horizontal="general" vertical="center" textRotation="0" wrapText="true" indent="0" shrinkToFit="false"/>
      <protection locked="true" hidden="false"/>
    </xf>
    <xf numFmtId="164" fontId="55" fillId="0" borderId="14" xfId="0" applyFont="true" applyBorder="true" applyAlignment="true" applyProtection="false">
      <alignment horizontal="right" vertical="center" textRotation="0" wrapText="false" indent="0" shrinkToFit="false"/>
      <protection locked="true" hidden="false"/>
    </xf>
    <xf numFmtId="165" fontId="56" fillId="0" borderId="0" xfId="0" applyFont="true" applyBorder="true" applyAlignment="true" applyProtection="false">
      <alignment horizontal="left" vertical="top" textRotation="0" wrapText="true" indent="0" shrinkToFit="false"/>
      <protection locked="true" hidden="false"/>
    </xf>
    <xf numFmtId="165" fontId="24" fillId="12" borderId="12" xfId="0" applyFont="true" applyBorder="true" applyAlignment="true" applyProtection="false">
      <alignment horizontal="left" vertical="center" textRotation="0" wrapText="true" indent="0" shrinkToFit="false"/>
      <protection locked="true" hidden="false"/>
    </xf>
    <xf numFmtId="165" fontId="6" fillId="13" borderId="12" xfId="45" applyFont="true" applyBorder="true" applyAlignment="true" applyProtection="false">
      <alignment horizontal="general" vertical="center" textRotation="0" wrapText="false" indent="0" shrinkToFit="false"/>
      <protection locked="true" hidden="false"/>
    </xf>
    <xf numFmtId="164" fontId="0" fillId="14" borderId="12" xfId="0" applyFont="true" applyBorder="true" applyAlignment="true" applyProtection="false">
      <alignment horizontal="center" vertical="center" textRotation="0" wrapText="true" indent="0" shrinkToFit="false"/>
      <protection locked="true" hidden="false"/>
    </xf>
    <xf numFmtId="164" fontId="96" fillId="0" borderId="25" xfId="0" applyFont="true" applyBorder="true" applyAlignment="true" applyProtection="false">
      <alignment horizontal="center" vertical="center" textRotation="0" wrapText="true" indent="0" shrinkToFit="false"/>
      <protection locked="true" hidden="false"/>
    </xf>
    <xf numFmtId="164" fontId="96" fillId="0" borderId="12" xfId="0" applyFont="true" applyBorder="true" applyAlignment="true" applyProtection="false">
      <alignment horizontal="center" vertical="center" textRotation="0" wrapText="true" indent="0" shrinkToFit="false"/>
      <protection locked="true" hidden="false"/>
    </xf>
    <xf numFmtId="165" fontId="26" fillId="0" borderId="13" xfId="0" applyFont="true" applyBorder="true" applyAlignment="true" applyProtection="false">
      <alignment horizontal="general" vertical="center" textRotation="0" wrapText="true" indent="0" shrinkToFit="false"/>
      <protection locked="true" hidden="false"/>
    </xf>
    <xf numFmtId="165" fontId="6" fillId="0" borderId="14" xfId="0" applyFont="true" applyBorder="true" applyAlignment="true" applyProtection="false">
      <alignment horizontal="right" vertical="center" textRotation="0" wrapText="true" indent="1" shrinkToFit="false"/>
      <protection locked="true" hidden="false"/>
    </xf>
    <xf numFmtId="165" fontId="21" fillId="0" borderId="0" xfId="0" applyFont="true" applyBorder="true" applyAlignment="true" applyProtection="false">
      <alignment horizontal="center" vertical="center" textRotation="0" wrapText="true" indent="0" shrinkToFit="false"/>
      <protection locked="true" hidden="false"/>
    </xf>
    <xf numFmtId="164" fontId="6" fillId="0" borderId="31" xfId="0" applyFont="true" applyBorder="true" applyAlignment="true" applyProtection="false">
      <alignment horizontal="center" vertical="center" textRotation="0" wrapText="true" indent="0" shrinkToFit="false"/>
      <protection locked="true" hidden="false"/>
    </xf>
    <xf numFmtId="164" fontId="37" fillId="5" borderId="13" xfId="0" applyFont="true" applyBorder="true" applyAlignment="true" applyProtection="true">
      <alignment horizontal="left" vertical="center" textRotation="0" wrapText="true" indent="0" shrinkToFit="false"/>
      <protection locked="false" hidden="false"/>
    </xf>
    <xf numFmtId="164" fontId="6" fillId="0" borderId="32" xfId="0" applyFont="true" applyBorder="true" applyAlignment="true" applyProtection="false">
      <alignment horizontal="center" vertical="center" textRotation="0" wrapText="true" indent="0" shrinkToFit="false"/>
      <protection locked="true" hidden="false"/>
    </xf>
    <xf numFmtId="174" fontId="6" fillId="8" borderId="22" xfId="0" applyFont="true" applyBorder="true" applyAlignment="true" applyProtection="true">
      <alignment horizontal="right" vertical="center" textRotation="0" wrapText="true" indent="0" shrinkToFit="false"/>
      <protection locked="false" hidden="false"/>
    </xf>
    <xf numFmtId="174" fontId="6" fillId="8" borderId="25" xfId="0" applyFont="true" applyBorder="true" applyAlignment="true" applyProtection="true">
      <alignment horizontal="right" vertical="center" textRotation="0" wrapText="true" indent="0" shrinkToFit="false"/>
      <protection locked="false" hidden="false"/>
    </xf>
    <xf numFmtId="165" fontId="24" fillId="11" borderId="10" xfId="0" applyFont="true" applyBorder="true" applyAlignment="true" applyProtection="false">
      <alignment horizontal="general" vertical="center" textRotation="0" wrapText="true" indent="0" shrinkToFit="false"/>
      <protection locked="true" hidden="false"/>
    </xf>
    <xf numFmtId="164" fontId="6" fillId="0" borderId="33" xfId="0" applyFont="true" applyBorder="true" applyAlignment="true" applyProtection="false">
      <alignment horizontal="center" vertical="center" textRotation="0" wrapText="true" indent="0" shrinkToFit="false"/>
      <protection locked="true" hidden="false"/>
    </xf>
    <xf numFmtId="165" fontId="6" fillId="0" borderId="10" xfId="0" applyFont="true" applyBorder="true" applyAlignment="true" applyProtection="false">
      <alignment horizontal="center" vertical="center" textRotation="0" wrapText="true" indent="0" shrinkToFit="false"/>
      <protection locked="true" hidden="false"/>
    </xf>
    <xf numFmtId="174" fontId="6" fillId="8" borderId="13" xfId="0" applyFont="true" applyBorder="true" applyAlignment="true" applyProtection="true">
      <alignment horizontal="right" vertical="center" textRotation="0" wrapText="true" indent="0" shrinkToFit="false"/>
      <protection locked="false" hidden="false"/>
    </xf>
    <xf numFmtId="164" fontId="6" fillId="0" borderId="34" xfId="0" applyFont="true" applyBorder="true" applyAlignment="true" applyProtection="false">
      <alignment horizontal="center" vertical="center" textRotation="0" wrapText="true" indent="0" shrinkToFit="false"/>
      <protection locked="true" hidden="false"/>
    </xf>
    <xf numFmtId="176" fontId="6" fillId="8" borderId="13" xfId="0" applyFont="true" applyBorder="true" applyAlignment="true" applyProtection="true">
      <alignment horizontal="right" vertical="center" textRotation="0" wrapText="true" indent="0" shrinkToFit="false"/>
      <protection locked="false" hidden="false"/>
    </xf>
    <xf numFmtId="164" fontId="37" fillId="8" borderId="13"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false">
      <alignment horizontal="left" vertical="center" textRotation="0" wrapText="true" indent="2" shrinkToFit="false"/>
      <protection locked="true" hidden="false"/>
    </xf>
    <xf numFmtId="164" fontId="97" fillId="0" borderId="0" xfId="0" applyFont="true" applyBorder="true" applyAlignment="true" applyProtection="false">
      <alignment horizontal="center" vertical="center" textRotation="0" wrapText="true" indent="0" shrinkToFit="false"/>
      <protection locked="true" hidden="false"/>
    </xf>
    <xf numFmtId="165" fontId="6" fillId="0" borderId="12" xfId="0" applyFont="true" applyBorder="true" applyAlignment="true" applyProtection="false">
      <alignment horizontal="general" vertical="top" textRotation="0" wrapText="true" indent="0" shrinkToFit="false"/>
      <protection locked="true" hidden="false"/>
    </xf>
    <xf numFmtId="165" fontId="6" fillId="9" borderId="0" xfId="0" applyFont="true" applyBorder="true" applyAlignment="true" applyProtection="false">
      <alignment horizontal="right" vertical="center" textRotation="0" wrapText="true" indent="0" shrinkToFit="false"/>
      <protection locked="true" hidden="false"/>
    </xf>
    <xf numFmtId="165" fontId="6" fillId="9" borderId="0" xfId="0" applyFont="true" applyBorder="true" applyAlignment="true" applyProtection="false">
      <alignment horizontal="right" vertical="center" textRotation="0" wrapText="false" indent="0" shrinkToFit="false"/>
      <protection locked="true" hidden="false"/>
    </xf>
    <xf numFmtId="165" fontId="6" fillId="9" borderId="12" xfId="0" applyFont="true" applyBorder="true" applyAlignment="true" applyProtection="false">
      <alignment horizontal="center" vertical="center" textRotation="0" wrapText="false" indent="0" shrinkToFit="false"/>
      <protection locked="true" hidden="false"/>
    </xf>
    <xf numFmtId="165" fontId="0" fillId="0" borderId="12" xfId="0" applyFont="true" applyBorder="true" applyAlignment="true" applyProtection="false">
      <alignment horizontal="left" vertical="center" textRotation="0" wrapText="true" indent="0" shrinkToFit="false"/>
      <protection locked="true" hidden="false"/>
    </xf>
    <xf numFmtId="165" fontId="6" fillId="11" borderId="13" xfId="0" applyFont="true" applyBorder="true" applyAlignment="true" applyProtection="false">
      <alignment horizontal="general" vertical="center" textRotation="0" wrapText="true" indent="0" shrinkToFit="false"/>
      <protection locked="true" hidden="false"/>
    </xf>
    <xf numFmtId="164" fontId="98" fillId="11" borderId="19" xfId="0" applyFont="true" applyBorder="true" applyAlignment="true" applyProtection="false">
      <alignment horizontal="center" vertical="top" textRotation="0" wrapText="false" indent="0" shrinkToFit="false"/>
      <protection locked="true" hidden="false"/>
    </xf>
    <xf numFmtId="164" fontId="55" fillId="0" borderId="14" xfId="0" applyFont="true" applyBorder="true" applyAlignment="true" applyProtection="false">
      <alignment horizontal="left" vertical="center" textRotation="0" wrapText="false" indent="0" shrinkToFit="false"/>
      <protection locked="true" hidden="false"/>
    </xf>
    <xf numFmtId="164" fontId="55" fillId="0" borderId="14" xfId="0" applyFont="true" applyBorder="true" applyAlignment="true" applyProtection="false">
      <alignment horizontal="left" vertical="center" textRotation="0" wrapText="false" indent="2" shrinkToFit="false"/>
      <protection locked="true" hidden="false"/>
    </xf>
    <xf numFmtId="164" fontId="98" fillId="0" borderId="14" xfId="0" applyFont="true" applyBorder="true" applyAlignment="true" applyProtection="false">
      <alignment horizontal="center" vertical="top" textRotation="0" wrapText="false" indent="0" shrinkToFit="false"/>
      <protection locked="true" hidden="false"/>
    </xf>
    <xf numFmtId="165" fontId="26" fillId="0" borderId="19" xfId="0" applyFont="true" applyBorder="true" applyAlignment="true" applyProtection="false">
      <alignment horizontal="right" vertical="center" textRotation="0" wrapText="true" indent="1" shrinkToFit="false"/>
      <protection locked="true" hidden="false"/>
    </xf>
    <xf numFmtId="171" fontId="26" fillId="0" borderId="13" xfId="0" applyFont="true" applyBorder="true" applyAlignment="true" applyProtection="false">
      <alignment horizontal="left" vertical="top" textRotation="0" wrapText="true" indent="0" shrinkToFit="false"/>
      <protection locked="true" hidden="false"/>
    </xf>
    <xf numFmtId="164" fontId="55" fillId="11" borderId="14" xfId="0" applyFont="true" applyBorder="true" applyAlignment="true" applyProtection="false">
      <alignment horizontal="left" vertical="center" textRotation="0" wrapText="false" indent="2" shrinkToFit="false"/>
      <protection locked="true" hidden="false"/>
    </xf>
    <xf numFmtId="165" fontId="36" fillId="0" borderId="19" xfId="0" applyFont="true" applyBorder="true" applyAlignment="true" applyProtection="false">
      <alignment horizontal="center" vertical="center"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2" shrinkToFit="false"/>
      <protection locked="true" hidden="false"/>
    </xf>
    <xf numFmtId="165" fontId="6" fillId="0" borderId="25" xfId="0" applyFont="true" applyBorder="true" applyAlignment="true" applyProtection="false">
      <alignment horizontal="left" vertical="center" textRotation="0" wrapText="true" indent="1" shrinkToFit="false"/>
      <protection locked="true" hidden="false"/>
    </xf>
    <xf numFmtId="164" fontId="0" fillId="0" borderId="12" xfId="0" applyFont="true" applyBorder="true" applyAlignment="true" applyProtection="false">
      <alignment horizontal="general" vertical="center" textRotation="0" wrapText="true" indent="0" shrinkToFit="false"/>
      <protection locked="true" hidden="false"/>
    </xf>
    <xf numFmtId="165" fontId="26" fillId="0" borderId="21" xfId="0" applyFont="true" applyBorder="true" applyAlignment="true" applyProtection="false">
      <alignment horizontal="general" vertical="center" textRotation="0" wrapText="true" indent="0" shrinkToFit="false"/>
      <protection locked="true" hidden="false"/>
    </xf>
    <xf numFmtId="171" fontId="6" fillId="7" borderId="12" xfId="0" applyFont="true" applyBorder="true" applyAlignment="true" applyProtection="false">
      <alignment horizontal="left" vertical="top" textRotation="0" wrapText="true" indent="0" shrinkToFit="false"/>
      <protection locked="true" hidden="false"/>
    </xf>
    <xf numFmtId="164" fontId="6" fillId="15" borderId="0" xfId="0" applyFont="true" applyBorder="true" applyAlignment="true" applyProtection="false">
      <alignment horizontal="center" vertical="center" textRotation="90" wrapText="true" indent="0" shrinkToFit="false"/>
      <protection locked="true" hidden="false"/>
    </xf>
    <xf numFmtId="165" fontId="94" fillId="0" borderId="16" xfId="0" applyFont="true" applyBorder="true" applyAlignment="true" applyProtection="false">
      <alignment horizontal="general" vertical="center" textRotation="0" wrapText="true" indent="0" shrinkToFit="false"/>
      <protection locked="true" hidden="false"/>
    </xf>
    <xf numFmtId="176" fontId="6" fillId="5" borderId="13" xfId="0" applyFont="true" applyBorder="true" applyAlignment="true" applyProtection="true">
      <alignment horizontal="right" vertical="center" textRotation="0" wrapText="true" indent="0" shrinkToFit="false"/>
      <protection locked="false" hidden="false"/>
    </xf>
    <xf numFmtId="174" fontId="6" fillId="5" borderId="13" xfId="0" applyFont="true" applyBorder="true" applyAlignment="true" applyProtection="true">
      <alignment horizontal="right" vertical="center" textRotation="0" wrapText="true" indent="0" shrinkToFit="false"/>
      <protection locked="false" hidden="false"/>
    </xf>
    <xf numFmtId="164" fontId="6" fillId="5" borderId="13"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false">
      <alignment horizontal="general" vertical="top" textRotation="0" wrapText="false" indent="0" shrinkToFit="false"/>
      <protection locked="true" hidden="false"/>
    </xf>
    <xf numFmtId="164" fontId="37" fillId="0" borderId="12" xfId="0" applyFont="true" applyBorder="true" applyAlignment="true" applyProtection="false">
      <alignment horizontal="left" vertical="center" textRotation="0" wrapText="true" indent="0" shrinkToFit="false"/>
      <protection locked="true" hidden="false"/>
    </xf>
    <xf numFmtId="164" fontId="6" fillId="0" borderId="35" xfId="0" applyFont="true" applyBorder="true" applyAlignment="true" applyProtection="false">
      <alignment horizontal="center" vertical="center" textRotation="0" wrapText="true" indent="0" shrinkToFit="false"/>
      <protection locked="true" hidden="false"/>
    </xf>
    <xf numFmtId="165" fontId="6" fillId="0" borderId="35" xfId="0" applyFont="true" applyBorder="true" applyAlignment="true" applyProtection="false">
      <alignment horizontal="left" vertical="center" textRotation="0" wrapText="true" indent="0" shrinkToFit="false"/>
      <protection locked="true" hidden="false"/>
    </xf>
    <xf numFmtId="174" fontId="6" fillId="0" borderId="36" xfId="0" applyFont="true" applyBorder="true" applyAlignment="true" applyProtection="false">
      <alignment horizontal="center" vertical="center" textRotation="0" wrapText="true" indent="0" shrinkToFit="false"/>
      <protection locked="true" hidden="false"/>
    </xf>
    <xf numFmtId="164" fontId="37" fillId="0" borderId="28" xfId="0" applyFont="true" applyBorder="true" applyAlignment="true" applyProtection="false">
      <alignment horizontal="left" vertical="center" textRotation="0" wrapText="true" indent="0" shrinkToFit="false"/>
      <protection locked="true" hidden="false"/>
    </xf>
    <xf numFmtId="164" fontId="6" fillId="0" borderId="37" xfId="0" applyFont="true" applyBorder="true" applyAlignment="true" applyProtection="false">
      <alignment horizontal="center" vertical="center" textRotation="0" wrapText="true" indent="0" shrinkToFit="false"/>
      <protection locked="true" hidden="false"/>
    </xf>
    <xf numFmtId="165" fontId="6" fillId="0" borderId="38" xfId="0" applyFont="true" applyBorder="true" applyAlignment="true" applyProtection="false">
      <alignment horizontal="left" vertical="center" textRotation="0" wrapText="true" indent="1" shrinkToFit="false"/>
      <protection locked="true" hidden="false"/>
    </xf>
    <xf numFmtId="174" fontId="6" fillId="8" borderId="37" xfId="0" applyFont="true" applyBorder="true" applyAlignment="true" applyProtection="true">
      <alignment horizontal="right" vertical="center" textRotation="0" wrapText="true" indent="0" shrinkToFit="false"/>
      <protection locked="false" hidden="false"/>
    </xf>
    <xf numFmtId="164" fontId="37" fillId="0" borderId="13" xfId="0" applyFont="true" applyBorder="true" applyAlignment="true" applyProtection="false">
      <alignment horizontal="left" vertical="center" textRotation="0" wrapText="true" indent="0" shrinkToFit="false"/>
      <protection locked="true" hidden="false"/>
    </xf>
    <xf numFmtId="174" fontId="6" fillId="0" borderId="25" xfId="0" applyFont="true" applyBorder="true" applyAlignment="true" applyProtection="false">
      <alignment horizontal="center" vertical="center" textRotation="0" wrapText="true" indent="0" shrinkToFit="false"/>
      <protection locked="true" hidden="false"/>
    </xf>
    <xf numFmtId="174" fontId="6" fillId="8" borderId="39" xfId="0" applyFont="true" applyBorder="true" applyAlignment="true" applyProtection="true">
      <alignment horizontal="right" vertical="center" textRotation="0" wrapText="true" indent="0" shrinkToFit="false"/>
      <protection locked="false" hidden="false"/>
    </xf>
    <xf numFmtId="165" fontId="6" fillId="0" borderId="38" xfId="0" applyFont="true" applyBorder="true" applyAlignment="true" applyProtection="false">
      <alignment horizontal="left" vertical="center" textRotation="0" wrapText="true" indent="0" shrinkToFit="false"/>
      <protection locked="true" hidden="false"/>
    </xf>
    <xf numFmtId="164" fontId="37" fillId="0" borderId="10" xfId="0" applyFont="true" applyBorder="true" applyAlignment="true" applyProtection="false">
      <alignment horizontal="left" vertical="center" textRotation="0" wrapText="true" indent="0" shrinkToFit="false"/>
      <protection locked="true" hidden="false"/>
    </xf>
    <xf numFmtId="165" fontId="6" fillId="0" borderId="37" xfId="0" applyFont="true" applyBorder="true" applyAlignment="true" applyProtection="false">
      <alignment horizontal="left" vertical="center" textRotation="0" wrapText="true" indent="1" shrinkToFit="false"/>
      <protection locked="true" hidden="false"/>
    </xf>
    <xf numFmtId="174" fontId="6" fillId="0" borderId="35" xfId="0" applyFont="true" applyBorder="true" applyAlignment="true" applyProtection="false">
      <alignment horizontal="center" vertical="center" textRotation="0" wrapText="true" indent="0" shrinkToFit="false"/>
      <protection locked="true" hidden="false"/>
    </xf>
    <xf numFmtId="165" fontId="6" fillId="0" borderId="37" xfId="0" applyFont="true" applyBorder="true" applyAlignment="true" applyProtection="false">
      <alignment horizontal="left" vertical="center" textRotation="0" wrapText="true" indent="0" shrinkToFit="false"/>
      <protection locked="true" hidden="false"/>
    </xf>
    <xf numFmtId="165" fontId="6" fillId="0" borderId="37" xfId="0" applyFont="true" applyBorder="true" applyAlignment="true" applyProtection="false">
      <alignment horizontal="left" vertical="center" textRotation="0" wrapText="true" indent="2" shrinkToFit="false"/>
      <protection locked="true" hidden="false"/>
    </xf>
    <xf numFmtId="174" fontId="6" fillId="0" borderId="37" xfId="0" applyFont="true" applyBorder="true" applyAlignment="true" applyProtection="false">
      <alignment horizontal="center" vertical="center" textRotation="0" wrapText="true" indent="0" shrinkToFit="false"/>
      <protection locked="true" hidden="false"/>
    </xf>
    <xf numFmtId="164" fontId="6" fillId="0" borderId="40" xfId="0" applyFont="true" applyBorder="true" applyAlignment="true" applyProtection="false">
      <alignment horizontal="center" vertical="center" textRotation="0" wrapText="true" indent="0" shrinkToFit="false"/>
      <protection locked="true" hidden="false"/>
    </xf>
    <xf numFmtId="165" fontId="6" fillId="0" borderId="39" xfId="0" applyFont="true" applyBorder="true" applyAlignment="true" applyProtection="false">
      <alignment horizontal="left" vertical="center" textRotation="0" wrapText="true" indent="0" shrinkToFit="false"/>
      <protection locked="true" hidden="false"/>
    </xf>
    <xf numFmtId="174" fontId="6" fillId="0" borderId="39" xfId="0" applyFont="true" applyBorder="true" applyAlignment="true" applyProtection="false">
      <alignment horizontal="center" vertical="center" textRotation="0" wrapText="true" indent="0" shrinkToFit="false"/>
      <protection locked="true" hidden="false"/>
    </xf>
    <xf numFmtId="164" fontId="37" fillId="0" borderId="22" xfId="0" applyFont="true" applyBorder="true" applyAlignment="true" applyProtection="false">
      <alignment horizontal="left" vertical="center" textRotation="0" wrapText="true" indent="0" shrinkToFit="false"/>
      <protection locked="true" hidden="false"/>
    </xf>
    <xf numFmtId="164" fontId="6" fillId="0" borderId="38" xfId="0" applyFont="true" applyBorder="true" applyAlignment="true" applyProtection="false">
      <alignment horizontal="center" vertical="center" textRotation="0" wrapText="true" indent="0" shrinkToFit="false"/>
      <protection locked="true" hidden="false"/>
    </xf>
    <xf numFmtId="174" fontId="6" fillId="8" borderId="38" xfId="0" applyFont="true" applyBorder="true" applyAlignment="true" applyProtection="true">
      <alignment horizontal="right" vertical="center" textRotation="0" wrapText="true" indent="0" shrinkToFit="false"/>
      <protection locked="false" hidden="false"/>
    </xf>
    <xf numFmtId="174" fontId="6" fillId="0" borderId="38" xfId="0" applyFont="true" applyBorder="true" applyAlignment="true" applyProtection="false">
      <alignment horizontal="center" vertical="center" textRotation="0" wrapText="true" indent="0" shrinkToFit="false"/>
      <protection locked="true" hidden="false"/>
    </xf>
    <xf numFmtId="174" fontId="6" fillId="8" borderId="40" xfId="0" applyFont="true" applyBorder="true" applyAlignment="true" applyProtection="true">
      <alignment horizontal="right" vertical="center" textRotation="0" wrapText="true" indent="0" shrinkToFit="false"/>
      <protection locked="false" hidden="false"/>
    </xf>
    <xf numFmtId="165" fontId="52" fillId="0" borderId="17" xfId="0" applyFont="true" applyBorder="true" applyAlignment="true" applyProtection="false">
      <alignment horizontal="center" vertical="center" textRotation="0" wrapText="true" indent="0" shrinkToFit="false"/>
      <protection locked="true" hidden="false"/>
    </xf>
    <xf numFmtId="171" fontId="0" fillId="0" borderId="13" xfId="0" applyFont="true" applyBorder="true" applyAlignment="true" applyProtection="false">
      <alignment horizontal="center" vertical="center" textRotation="0" wrapText="false" indent="0" shrinkToFit="false"/>
      <protection locked="true" hidden="false"/>
    </xf>
    <xf numFmtId="173" fontId="0" fillId="5" borderId="12" xfId="0" applyFont="true" applyBorder="true" applyAlignment="true" applyProtection="true">
      <alignment horizontal="left" vertical="center" textRotation="0" wrapText="true" indent="1" shrinkToFit="false"/>
      <protection locked="false" hidden="false"/>
    </xf>
    <xf numFmtId="171" fontId="6" fillId="7" borderId="12" xfId="0" applyFont="true" applyBorder="true" applyAlignment="true" applyProtection="false">
      <alignment horizontal="left" vertical="top" textRotation="0" wrapText="true" indent="1" shrinkToFit="false"/>
      <protection locked="true" hidden="false"/>
    </xf>
    <xf numFmtId="164" fontId="0" fillId="0" borderId="13" xfId="0" applyFont="true" applyBorder="true" applyAlignment="true" applyProtection="false">
      <alignment horizontal="center" vertical="center" textRotation="0" wrapText="false" indent="0" shrinkToFit="false"/>
      <protection locked="true" hidden="false"/>
    </xf>
    <xf numFmtId="165" fontId="6" fillId="11" borderId="14" xfId="0" applyFont="true" applyBorder="true" applyAlignment="true" applyProtection="false">
      <alignment horizontal="general" vertical="center" textRotation="0" wrapText="true" indent="0" shrinkToFit="false"/>
      <protection locked="true" hidden="false"/>
    </xf>
    <xf numFmtId="165" fontId="36" fillId="0" borderId="19" xfId="0" applyFont="true" applyBorder="true" applyAlignment="true" applyProtection="false">
      <alignment horizontal="general" vertical="center" textRotation="0" wrapText="true" indent="0" shrinkToFit="false"/>
      <protection locked="true" hidden="false"/>
    </xf>
    <xf numFmtId="165" fontId="6" fillId="11" borderId="21" xfId="0" applyFont="true" applyBorder="true" applyAlignment="true" applyProtection="false">
      <alignment horizontal="general" vertical="center" textRotation="0" wrapText="true" indent="0" shrinkToFit="false"/>
      <protection locked="true" hidden="false"/>
    </xf>
    <xf numFmtId="164" fontId="99" fillId="0" borderId="0" xfId="0" applyFont="true" applyBorder="true" applyAlignment="true" applyProtection="false">
      <alignment horizontal="center" vertical="center" textRotation="0" wrapText="true" indent="0" shrinkToFit="false"/>
      <protection locked="true" hidden="false"/>
    </xf>
    <xf numFmtId="165" fontId="6" fillId="9" borderId="25" xfId="0" applyFont="true" applyBorder="true" applyAlignment="true" applyProtection="false">
      <alignment horizontal="center" vertical="center" textRotation="0" wrapText="true" indent="0" shrinkToFit="false"/>
      <protection locked="true" hidden="false"/>
    </xf>
    <xf numFmtId="165" fontId="0" fillId="9" borderId="22" xfId="0" applyFont="true" applyBorder="true" applyAlignment="true" applyProtection="false">
      <alignment horizontal="center" vertical="center" textRotation="0" wrapText="true" indent="0" shrinkToFit="false"/>
      <protection locked="true" hidden="false"/>
    </xf>
    <xf numFmtId="165" fontId="0" fillId="0" borderId="12" xfId="0" applyFont="true" applyBorder="true" applyAlignment="true" applyProtection="false">
      <alignment horizontal="left" vertical="center" textRotation="0" wrapText="true" indent="1" shrinkToFit="false"/>
      <protection locked="true" hidden="false"/>
    </xf>
    <xf numFmtId="165" fontId="6" fillId="11" borderId="29" xfId="0" applyFont="true" applyBorder="true" applyAlignment="true" applyProtection="false">
      <alignment horizontal="general" vertical="center" textRotation="0" wrapText="true" indent="0" shrinkToFit="false"/>
      <protection locked="true" hidden="false"/>
    </xf>
    <xf numFmtId="165" fontId="6" fillId="9" borderId="9" xfId="0" applyFont="true" applyBorder="true" applyAlignment="true" applyProtection="false">
      <alignment horizontal="general" vertical="center" textRotation="0" wrapText="true" indent="0" shrinkToFit="false"/>
      <protection locked="true" hidden="false"/>
    </xf>
    <xf numFmtId="164" fontId="73" fillId="0" borderId="9" xfId="0" applyFont="true" applyBorder="true" applyAlignment="true" applyProtection="false">
      <alignment horizontal="general" vertical="top" textRotation="0" wrapText="false" indent="0" shrinkToFit="false"/>
      <protection locked="true" hidden="false"/>
    </xf>
    <xf numFmtId="165" fontId="32" fillId="9" borderId="9" xfId="0" applyFont="true" applyBorder="true" applyAlignment="true" applyProtection="false">
      <alignment horizontal="center" vertical="bottom" textRotation="0" wrapText="true" indent="0" shrinkToFit="false"/>
      <protection locked="true" hidden="false"/>
    </xf>
    <xf numFmtId="165" fontId="6" fillId="0" borderId="6" xfId="0" applyFont="true" applyBorder="true" applyAlignment="true" applyProtection="false">
      <alignment horizontal="center" vertical="center" textRotation="0" wrapText="false" indent="0" shrinkToFit="false"/>
      <protection locked="true" hidden="false"/>
    </xf>
    <xf numFmtId="165" fontId="6" fillId="0" borderId="3" xfId="0" applyFont="true" applyBorder="true" applyAlignment="true" applyProtection="false">
      <alignment horizontal="general" vertical="center" textRotation="0" wrapText="true" indent="0" shrinkToFit="false"/>
      <protection locked="true" hidden="false"/>
    </xf>
    <xf numFmtId="165" fontId="36" fillId="9" borderId="12" xfId="0" applyFont="true" applyBorder="true" applyAlignment="true" applyProtection="false">
      <alignment horizontal="center" vertical="center" textRotation="0" wrapText="true" indent="0" shrinkToFit="false"/>
      <protection locked="true" hidden="false"/>
    </xf>
    <xf numFmtId="165" fontId="100" fillId="0" borderId="0" xfId="0" applyFont="true" applyBorder="true" applyAlignment="true" applyProtection="false">
      <alignment horizontal="general" vertical="center" textRotation="0" wrapText="false" indent="0" shrinkToFit="false"/>
      <protection locked="true" hidden="false"/>
    </xf>
    <xf numFmtId="165" fontId="6" fillId="9" borderId="14" xfId="0" applyFont="true" applyBorder="true" applyAlignment="true" applyProtection="false">
      <alignment horizontal="general" vertical="center" textRotation="0" wrapText="true" indent="0" shrinkToFit="false"/>
      <protection locked="true" hidden="false"/>
    </xf>
    <xf numFmtId="165" fontId="26" fillId="0" borderId="9" xfId="0" applyFont="true" applyBorder="true" applyAlignment="true" applyProtection="false">
      <alignment horizontal="general" vertical="center" textRotation="0" wrapText="true" indent="0" shrinkToFit="false"/>
      <protection locked="true" hidden="false"/>
    </xf>
    <xf numFmtId="165" fontId="6" fillId="0" borderId="41" xfId="0" applyFont="true" applyBorder="true" applyAlignment="true" applyProtection="false">
      <alignment horizontal="center" vertical="center" textRotation="0" wrapText="false" indent="0" shrinkToFit="false"/>
      <protection locked="true" hidden="false"/>
    </xf>
    <xf numFmtId="165" fontId="6" fillId="0" borderId="3" xfId="0" applyFont="true" applyBorder="true" applyAlignment="true" applyProtection="false">
      <alignment horizontal="general" vertical="center" textRotation="0" wrapText="false" indent="0" shrinkToFit="false"/>
      <protection locked="true" hidden="false"/>
    </xf>
    <xf numFmtId="164" fontId="6" fillId="0" borderId="16" xfId="0" applyFont="true" applyBorder="true" applyAlignment="true" applyProtection="false">
      <alignment horizontal="general" vertical="top" textRotation="0" wrapText="false" indent="0" shrinkToFit="false"/>
      <protection locked="true" hidden="false"/>
    </xf>
    <xf numFmtId="171" fontId="0" fillId="7" borderId="12" xfId="0" applyFont="true" applyBorder="true" applyAlignment="true" applyProtection="false">
      <alignment horizontal="center" vertical="center" textRotation="0" wrapText="true" indent="0" shrinkToFit="false"/>
      <protection locked="true" hidden="false"/>
    </xf>
    <xf numFmtId="164" fontId="0" fillId="7" borderId="12" xfId="0" applyFont="true" applyBorder="true" applyAlignment="true" applyProtection="false">
      <alignment horizontal="center" vertical="center" textRotation="0" wrapText="false" indent="0" shrinkToFit="false"/>
      <protection locked="true" hidden="false"/>
    </xf>
    <xf numFmtId="165" fontId="6" fillId="0" borderId="16" xfId="0" applyFont="true" applyBorder="true" applyAlignment="true" applyProtection="false">
      <alignment horizontal="general" vertical="center" textRotation="0" wrapText="true" indent="0" shrinkToFit="false"/>
      <protection locked="true" hidden="false"/>
    </xf>
    <xf numFmtId="174" fontId="0" fillId="7" borderId="12" xfId="0" applyFont="true" applyBorder="true" applyAlignment="true" applyProtection="false">
      <alignment horizontal="right" vertical="center" textRotation="0" wrapText="true" indent="0" shrinkToFit="false"/>
      <protection locked="true" hidden="false"/>
    </xf>
    <xf numFmtId="174" fontId="0" fillId="5" borderId="12" xfId="0" applyFont="true" applyBorder="true" applyAlignment="true" applyProtection="true">
      <alignment horizontal="right" vertical="center" textRotation="0" wrapText="true" indent="0" shrinkToFit="false"/>
      <protection locked="false" hidden="false"/>
    </xf>
    <xf numFmtId="164" fontId="0" fillId="0" borderId="12" xfId="0" applyFont="true" applyBorder="true" applyAlignment="true" applyProtection="false">
      <alignment horizontal="left" vertical="center" textRotation="0" wrapText="true" indent="3" shrinkToFit="false"/>
      <protection locked="true" hidden="false"/>
    </xf>
    <xf numFmtId="164" fontId="56" fillId="0" borderId="0" xfId="0" applyFont="true" applyBorder="true" applyAlignment="true" applyProtection="false">
      <alignment horizontal="general" vertical="center" textRotation="0" wrapText="true" indent="0" shrinkToFit="false"/>
      <protection locked="true" hidden="false"/>
    </xf>
    <xf numFmtId="164" fontId="101" fillId="0" borderId="0" xfId="0" applyFont="true" applyBorder="true" applyAlignment="true" applyProtection="false">
      <alignment horizontal="general" vertical="center" textRotation="0" wrapText="true" indent="0" shrinkToFit="false"/>
      <protection locked="true" hidden="false"/>
    </xf>
    <xf numFmtId="164" fontId="56" fillId="0" borderId="0" xfId="0" applyFont="true" applyBorder="true" applyAlignment="true" applyProtection="false">
      <alignment horizontal="general" vertical="center" textRotation="0" wrapText="false" indent="0" shrinkToFit="false"/>
      <protection locked="true" hidden="false"/>
    </xf>
    <xf numFmtId="164" fontId="101" fillId="0" borderId="0" xfId="0" applyFont="true" applyBorder="true" applyAlignment="true" applyProtection="false">
      <alignment horizontal="general" vertical="center" textRotation="0" wrapText="false" indent="0" shrinkToFit="false"/>
      <protection locked="true" hidden="false"/>
    </xf>
    <xf numFmtId="164" fontId="56" fillId="0" borderId="0" xfId="0" applyFont="true" applyBorder="true" applyAlignment="true" applyProtection="false">
      <alignment horizontal="general" vertical="top" textRotation="0" wrapText="false" indent="0" shrinkToFit="false"/>
      <protection locked="true" hidden="false"/>
    </xf>
    <xf numFmtId="164" fontId="22" fillId="0" borderId="0" xfId="0" applyFont="true" applyBorder="true" applyAlignment="true" applyProtection="false">
      <alignment horizontal="center" vertical="top" textRotation="0" wrapText="true" indent="0" shrinkToFit="false"/>
      <protection locked="true" hidden="false"/>
    </xf>
    <xf numFmtId="164" fontId="6" fillId="9" borderId="0" xfId="0" applyFont="true" applyBorder="true" applyAlignment="true" applyProtection="false">
      <alignment horizontal="center" vertical="top" textRotation="0" wrapText="true" indent="0" shrinkToFit="false"/>
      <protection locked="true" hidden="false"/>
    </xf>
    <xf numFmtId="171" fontId="6" fillId="0" borderId="15" xfId="0" applyFont="true" applyBorder="true" applyAlignment="true" applyProtection="false">
      <alignment horizontal="left" vertical="top" textRotation="0" wrapText="true" indent="0" shrinkToFit="false"/>
      <protection locked="true" hidden="false"/>
    </xf>
    <xf numFmtId="171" fontId="6" fillId="0" borderId="29" xfId="0" applyFont="true" applyBorder="true" applyAlignment="true" applyProtection="false">
      <alignment horizontal="left" vertical="center" textRotation="0" wrapText="true" indent="1" shrinkToFit="false"/>
      <protection locked="true" hidden="false"/>
    </xf>
    <xf numFmtId="164" fontId="56" fillId="0" borderId="0" xfId="0" applyFont="true" applyBorder="true" applyAlignment="true" applyProtection="false">
      <alignment horizontal="center" vertical="center" textRotation="0" wrapText="true" indent="0" shrinkToFit="false"/>
      <protection locked="true" hidden="false"/>
    </xf>
    <xf numFmtId="164" fontId="101" fillId="0" borderId="0" xfId="0" applyFont="true" applyBorder="true" applyAlignment="true" applyProtection="false">
      <alignment horizontal="center" vertical="center" textRotation="0" wrapText="true" indent="0" shrinkToFit="false"/>
      <protection locked="true" hidden="false"/>
    </xf>
    <xf numFmtId="165" fontId="56" fillId="0" borderId="0" xfId="0" applyFont="true" applyBorder="true" applyAlignment="true" applyProtection="false">
      <alignment horizontal="center" vertical="center" textRotation="0" wrapText="true" indent="0" shrinkToFit="false"/>
      <protection locked="true" hidden="false"/>
    </xf>
    <xf numFmtId="165" fontId="6" fillId="16" borderId="12" xfId="0" applyFont="true" applyBorder="true" applyAlignment="true" applyProtection="false">
      <alignment horizontal="center" vertical="center" textRotation="0" wrapText="true" indent="0" shrinkToFit="false"/>
      <protection locked="true" hidden="false"/>
    </xf>
    <xf numFmtId="164" fontId="24" fillId="17" borderId="12" xfId="0" applyFont="true" applyBorder="true" applyAlignment="true" applyProtection="false">
      <alignment horizontal="center" vertical="center" textRotation="0" wrapText="true" indent="0" shrinkToFit="false"/>
      <protection locked="true" hidden="false"/>
    </xf>
    <xf numFmtId="164" fontId="24" fillId="18" borderId="12" xfId="0" applyFont="true" applyBorder="true" applyAlignment="true" applyProtection="false">
      <alignment horizontal="center" vertical="center" textRotation="0" wrapText="true" indent="0" shrinkToFit="false"/>
      <protection locked="true" hidden="false"/>
    </xf>
    <xf numFmtId="164" fontId="6" fillId="19" borderId="13" xfId="0" applyFont="true" applyBorder="true" applyAlignment="true" applyProtection="false">
      <alignment horizontal="center" vertical="center" textRotation="0" wrapText="true" indent="0" shrinkToFit="false"/>
      <protection locked="true" hidden="false"/>
    </xf>
    <xf numFmtId="164" fontId="6" fillId="20" borderId="10" xfId="0" applyFont="true" applyBorder="true" applyAlignment="true" applyProtection="false">
      <alignment horizontal="center" vertical="center" textRotation="0" wrapText="true" indent="0" shrinkToFit="false"/>
      <protection locked="true" hidden="false"/>
    </xf>
    <xf numFmtId="164" fontId="56" fillId="9" borderId="0" xfId="0" applyFont="true" applyBorder="true" applyAlignment="true" applyProtection="false">
      <alignment horizontal="general" vertical="center" textRotation="0" wrapText="true" indent="0" shrinkToFit="false"/>
      <protection locked="true" hidden="false"/>
    </xf>
    <xf numFmtId="164" fontId="6" fillId="20" borderId="12" xfId="0" applyFont="true" applyBorder="true" applyAlignment="true" applyProtection="false">
      <alignment horizontal="center" vertical="center" textRotation="0" wrapText="true" indent="0" shrinkToFit="false"/>
      <protection locked="true" hidden="false"/>
    </xf>
    <xf numFmtId="165" fontId="6" fillId="20" borderId="12" xfId="0" applyFont="true" applyBorder="true" applyAlignment="true" applyProtection="false">
      <alignment horizontal="center" vertical="center" textRotation="0" wrapText="true" indent="0" shrinkToFit="false"/>
      <protection locked="true" hidden="false"/>
    </xf>
    <xf numFmtId="165" fontId="6" fillId="20" borderId="13" xfId="0" applyFont="true" applyBorder="true" applyAlignment="true" applyProtection="false">
      <alignment horizontal="center" vertical="center" textRotation="0" wrapText="true" indent="0" shrinkToFit="false"/>
      <protection locked="true" hidden="false"/>
    </xf>
    <xf numFmtId="165" fontId="6" fillId="20" borderId="19" xfId="0" applyFont="true" applyBorder="true" applyAlignment="true" applyProtection="false">
      <alignment horizontal="center" vertical="center" textRotation="0" wrapText="true" indent="0" shrinkToFit="false"/>
      <protection locked="true" hidden="false"/>
    </xf>
    <xf numFmtId="164" fontId="56" fillId="9" borderId="0" xfId="0" applyFont="true" applyBorder="true" applyAlignment="true" applyProtection="false">
      <alignment horizontal="general" vertical="center" textRotation="0" wrapText="false" indent="0" shrinkToFit="false"/>
      <protection locked="true" hidden="false"/>
    </xf>
    <xf numFmtId="164" fontId="52" fillId="0" borderId="12" xfId="0" applyFont="true" applyBorder="true" applyAlignment="true" applyProtection="false">
      <alignment horizontal="center" vertical="center" textRotation="0" wrapText="false" indent="0" shrinkToFit="false"/>
      <protection locked="true" hidden="false"/>
    </xf>
    <xf numFmtId="164" fontId="52" fillId="20" borderId="12" xfId="0" applyFont="true" applyBorder="true" applyAlignment="true" applyProtection="false">
      <alignment horizontal="center" vertical="center" textRotation="0" wrapText="false" indent="0" shrinkToFit="false"/>
      <protection locked="true" hidden="false"/>
    </xf>
    <xf numFmtId="165" fontId="52" fillId="0" borderId="12" xfId="0" applyFont="true" applyBorder="true" applyAlignment="true" applyProtection="false">
      <alignment horizontal="center" vertical="center" textRotation="0" wrapText="false" indent="0" shrinkToFit="false"/>
      <protection locked="true" hidden="false"/>
    </xf>
    <xf numFmtId="164" fontId="52" fillId="0" borderId="18"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general" vertical="center" textRotation="0" wrapText="false" indent="0" shrinkToFit="false"/>
      <protection locked="true" hidden="false"/>
    </xf>
    <xf numFmtId="164" fontId="24" fillId="0" borderId="25" xfId="0" applyFont="true" applyBorder="true" applyAlignment="true" applyProtection="false">
      <alignment horizontal="center" vertical="center" textRotation="0" wrapText="false" indent="0" shrinkToFit="false"/>
      <protection locked="true" hidden="false"/>
    </xf>
    <xf numFmtId="165" fontId="6" fillId="0" borderId="25" xfId="0" applyFont="true" applyBorder="true" applyAlignment="true" applyProtection="false">
      <alignment horizontal="right" vertical="center" textRotation="0" wrapText="false" indent="0" shrinkToFit="false"/>
      <protection locked="true" hidden="false"/>
    </xf>
    <xf numFmtId="165" fontId="6" fillId="0" borderId="25"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right" vertical="center" textRotation="0" wrapText="false" indent="0" shrinkToFit="false"/>
      <protection locked="true" hidden="false"/>
    </xf>
    <xf numFmtId="174" fontId="56" fillId="9"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true" applyProtection="false">
      <alignment horizontal="general" vertical="center" textRotation="0" wrapText="true" indent="0" shrinkToFit="false"/>
      <protection locked="true" hidden="false"/>
    </xf>
    <xf numFmtId="165" fontId="52" fillId="0" borderId="0" xfId="46" applyFont="true" applyBorder="true" applyAlignment="true" applyProtection="false">
      <alignment horizontal="center" vertical="center" textRotation="0" wrapText="true" indent="0" shrinkToFit="false"/>
      <protection locked="true" hidden="false"/>
    </xf>
    <xf numFmtId="165" fontId="6" fillId="7" borderId="13" xfId="0" applyFont="true" applyBorder="true" applyAlignment="true" applyProtection="false">
      <alignment horizontal="left" vertical="top" textRotation="0" wrapText="true" indent="1" shrinkToFit="false"/>
      <protection locked="true" hidden="false"/>
    </xf>
    <xf numFmtId="171" fontId="6" fillId="0" borderId="12" xfId="0" applyFont="true" applyBorder="true" applyAlignment="true" applyProtection="false">
      <alignment horizontal="left" vertical="top" textRotation="0" wrapText="true" indent="0" shrinkToFit="false"/>
      <protection locked="true" hidden="false"/>
    </xf>
    <xf numFmtId="176" fontId="6" fillId="8" borderId="13" xfId="0" applyFont="true" applyBorder="true" applyAlignment="true" applyProtection="true">
      <alignment horizontal="general" vertical="center" textRotation="0" wrapText="true" indent="0" shrinkToFit="false"/>
      <protection locked="false" hidden="false"/>
    </xf>
    <xf numFmtId="174" fontId="6" fillId="7" borderId="13" xfId="0" applyFont="true" applyBorder="true" applyAlignment="true" applyProtection="false">
      <alignment horizontal="right" vertical="center" textRotation="0" wrapText="true" indent="0" shrinkToFit="false"/>
      <protection locked="true" hidden="false"/>
    </xf>
    <xf numFmtId="165" fontId="24" fillId="0" borderId="12" xfId="0" applyFont="true" applyBorder="true" applyAlignment="true" applyProtection="false">
      <alignment horizontal="general" vertical="top" textRotation="0" wrapText="true" indent="0" shrinkToFit="false"/>
      <protection locked="true" hidden="false"/>
    </xf>
    <xf numFmtId="171" fontId="0" fillId="0" borderId="12" xfId="0" applyFont="true" applyBorder="true" applyAlignment="true" applyProtection="false">
      <alignment horizontal="general" vertical="center" textRotation="0" wrapText="true" indent="0" shrinkToFit="false"/>
      <protection locked="true" hidden="false"/>
    </xf>
    <xf numFmtId="171" fontId="0" fillId="0" borderId="12" xfId="0" applyFont="true" applyBorder="true" applyAlignment="true" applyProtection="false">
      <alignment horizontal="left" vertical="center" textRotation="0" wrapText="true" indent="1" shrinkToFit="false"/>
      <protection locked="true" hidden="false"/>
    </xf>
    <xf numFmtId="165" fontId="0" fillId="8" borderId="12" xfId="0" applyFont="true" applyBorder="true" applyAlignment="true" applyProtection="true">
      <alignment horizontal="left" vertical="center" textRotation="0" wrapText="true" indent="2" shrinkToFit="false"/>
      <protection locked="false" hidden="false"/>
    </xf>
    <xf numFmtId="164" fontId="98" fillId="11" borderId="10" xfId="0" applyFont="true" applyBorder="true" applyAlignment="true" applyProtection="false">
      <alignment horizontal="center" vertical="top" textRotation="0" wrapText="false" indent="0" shrinkToFit="false"/>
      <protection locked="true" hidden="false"/>
    </xf>
    <xf numFmtId="165" fontId="36" fillId="0" borderId="25" xfId="0" applyFont="true" applyBorder="true" applyAlignment="true" applyProtection="false">
      <alignment horizontal="general" vertical="center" textRotation="0" wrapText="true" indent="0" shrinkToFit="false"/>
      <protection locked="true" hidden="false"/>
    </xf>
    <xf numFmtId="164" fontId="68" fillId="0" borderId="12" xfId="0" applyFont="true" applyBorder="true" applyAlignment="true" applyProtection="false">
      <alignment horizontal="center" vertical="center" textRotation="0" wrapText="true" indent="0" shrinkToFit="false"/>
      <protection locked="true" hidden="false"/>
    </xf>
    <xf numFmtId="165" fontId="68" fillId="0" borderId="12" xfId="0" applyFont="true" applyBorder="true" applyAlignment="true" applyProtection="false">
      <alignment horizontal="left" vertical="center" textRotation="0" wrapText="true" indent="2" shrinkToFit="false"/>
      <protection locked="true" hidden="false"/>
    </xf>
    <xf numFmtId="164" fontId="102" fillId="0" borderId="13" xfId="0" applyFont="true" applyBorder="true" applyAlignment="true" applyProtection="false">
      <alignment horizontal="left" vertical="center" textRotation="0" wrapText="true" indent="0" shrinkToFit="false"/>
      <protection locked="true" hidden="false"/>
    </xf>
    <xf numFmtId="165" fontId="6" fillId="0" borderId="25" xfId="0" applyFont="true" applyBorder="true" applyAlignment="true" applyProtection="false">
      <alignment horizontal="general" vertical="top" textRotation="0" wrapText="true" indent="0" shrinkToFit="false"/>
      <protection locked="true" hidden="false"/>
    </xf>
    <xf numFmtId="165" fontId="0" fillId="8" borderId="12" xfId="0" applyFont="true" applyBorder="true" applyAlignment="true" applyProtection="true">
      <alignment horizontal="left" vertical="center" textRotation="0" wrapText="true" indent="0" shrinkToFit="false"/>
      <protection locked="false" hidden="false"/>
    </xf>
    <xf numFmtId="165" fontId="0" fillId="0" borderId="12" xfId="0" applyFont="true" applyBorder="true" applyAlignment="true" applyProtection="false">
      <alignment horizontal="left" vertical="center" textRotation="0" wrapText="true" indent="2" shrinkToFit="false"/>
      <protection locked="true" hidden="false"/>
    </xf>
    <xf numFmtId="173" fontId="0" fillId="8" borderId="12" xfId="0" applyFont="true" applyBorder="true" applyAlignment="true" applyProtection="true">
      <alignment horizontal="left" vertical="center" textRotation="0" wrapText="true" indent="0" shrinkToFit="false"/>
      <protection locked="false" hidden="false"/>
    </xf>
    <xf numFmtId="171" fontId="6" fillId="0" borderId="0" xfId="0" applyFont="true" applyBorder="true" applyAlignment="true" applyProtection="false">
      <alignment horizontal="left" vertical="top" textRotation="0" wrapText="true" indent="0" shrinkToFit="false"/>
      <protection locked="true" hidden="false"/>
    </xf>
    <xf numFmtId="173" fontId="0" fillId="8" borderId="19" xfId="0" applyFont="true" applyBorder="true" applyAlignment="true" applyProtection="true">
      <alignment horizontal="left" vertical="center" textRotation="0" wrapText="true" indent="0" shrinkToFit="false"/>
      <protection locked="false" hidden="false"/>
    </xf>
    <xf numFmtId="173" fontId="0" fillId="8" borderId="13" xfId="0" applyFont="true" applyBorder="true" applyAlignment="true" applyProtection="true">
      <alignment horizontal="left" vertical="center" textRotation="0" wrapText="true" indent="0" shrinkToFit="false"/>
      <protection locked="false" hidden="false"/>
    </xf>
    <xf numFmtId="165" fontId="0" fillId="0" borderId="30" xfId="0" applyFont="true" applyBorder="true" applyAlignment="true" applyProtection="false">
      <alignment horizontal="center" vertical="center" textRotation="0" wrapText="true" indent="0" shrinkToFit="false"/>
      <protection locked="true" hidden="false"/>
    </xf>
    <xf numFmtId="171" fontId="6" fillId="0" borderId="10" xfId="0" applyFont="true" applyBorder="true" applyAlignment="true" applyProtection="false">
      <alignment horizontal="left" vertical="top" textRotation="0" wrapText="true" indent="1" shrinkToFit="false"/>
      <protection locked="true" hidden="false"/>
    </xf>
    <xf numFmtId="171" fontId="0" fillId="9" borderId="13" xfId="0" applyFont="true" applyBorder="true" applyAlignment="true" applyProtection="false">
      <alignment horizontal="right" vertical="center" textRotation="0" wrapText="true" indent="1" shrinkToFit="false"/>
      <protection locked="true" hidden="false"/>
    </xf>
    <xf numFmtId="164" fontId="52" fillId="9" borderId="14" xfId="0" applyFont="true" applyBorder="true" applyAlignment="true" applyProtection="false">
      <alignment horizontal="center" vertical="center" textRotation="0" wrapText="true" indent="0" shrinkToFit="false"/>
      <protection locked="true" hidden="false"/>
    </xf>
    <xf numFmtId="164" fontId="0" fillId="9" borderId="25" xfId="0" applyFont="true" applyBorder="true" applyAlignment="true" applyProtection="false">
      <alignment horizontal="center" vertical="center" textRotation="0" wrapText="true" indent="0" shrinkToFit="false"/>
      <protection locked="true" hidden="false"/>
    </xf>
    <xf numFmtId="171" fontId="0" fillId="0" borderId="25" xfId="0" applyFont="true" applyBorder="true" applyAlignment="true" applyProtection="false">
      <alignment horizontal="left" vertical="center" textRotation="0" wrapText="true" indent="0" shrinkToFit="false"/>
      <protection locked="true" hidden="false"/>
    </xf>
    <xf numFmtId="165" fontId="81" fillId="9" borderId="0" xfId="0" applyFont="true" applyBorder="true" applyAlignment="true" applyProtection="false">
      <alignment horizontal="center" vertical="top" textRotation="0" wrapText="true" indent="0" shrinkToFit="false"/>
      <protection locked="true" hidden="false"/>
    </xf>
    <xf numFmtId="171" fontId="0" fillId="7" borderId="13" xfId="0" applyFont="true" applyBorder="true" applyAlignment="true" applyProtection="false">
      <alignment horizontal="left" vertical="center" textRotation="0" wrapText="true" indent="1" shrinkToFit="false"/>
      <protection locked="true" hidden="false"/>
    </xf>
    <xf numFmtId="171" fontId="6" fillId="0" borderId="25" xfId="0" applyFont="true" applyBorder="true" applyAlignment="true" applyProtection="false">
      <alignment horizontal="left" vertical="top" textRotation="0" wrapText="true" indent="0" shrinkToFit="false"/>
      <protection locked="true" hidden="false"/>
    </xf>
    <xf numFmtId="164" fontId="55" fillId="11" borderId="21" xfId="0" applyFont="true" applyBorder="true" applyAlignment="true" applyProtection="false">
      <alignment horizontal="left" vertical="center" textRotation="0" wrapText="false" indent="2" shrinkToFit="false"/>
      <protection locked="true" hidden="false"/>
    </xf>
    <xf numFmtId="165" fontId="81" fillId="9" borderId="17" xfId="0" applyFont="true" applyBorder="true" applyAlignment="true" applyProtection="false">
      <alignment horizontal="center" vertical="top" textRotation="0" wrapText="true" indent="0" shrinkToFit="false"/>
      <protection locked="true" hidden="false"/>
    </xf>
    <xf numFmtId="164" fontId="0" fillId="9" borderId="18" xfId="0" applyFont="true" applyBorder="true" applyAlignment="true" applyProtection="false">
      <alignment horizontal="center" vertical="center" textRotation="0" wrapText="true" indent="0" shrinkToFit="false"/>
      <protection locked="true" hidden="false"/>
    </xf>
    <xf numFmtId="171" fontId="0" fillId="7" borderId="18" xfId="0" applyFont="true" applyBorder="true" applyAlignment="true" applyProtection="false">
      <alignment horizontal="left" vertical="center" textRotation="0" wrapText="true" indent="1" shrinkToFit="false"/>
      <protection locked="true" hidden="false"/>
    </xf>
    <xf numFmtId="171" fontId="0" fillId="0" borderId="12" xfId="0" applyFont="true" applyBorder="true" applyAlignment="true" applyProtection="false">
      <alignment horizontal="left" vertical="center" textRotation="0" wrapText="true" indent="0" shrinkToFit="false"/>
      <protection locked="true" hidden="false"/>
    </xf>
    <xf numFmtId="164" fontId="0" fillId="9" borderId="13" xfId="0" applyFont="true" applyBorder="true" applyAlignment="true" applyProtection="false">
      <alignment horizontal="center" vertical="center" textRotation="0" wrapText="true" indent="0" shrinkToFit="false"/>
      <protection locked="true" hidden="false"/>
    </xf>
    <xf numFmtId="165" fontId="6" fillId="0" borderId="30" xfId="0" applyFont="true" applyBorder="true" applyAlignment="true" applyProtection="false">
      <alignment horizontal="left" vertical="top" textRotation="0" wrapText="true" indent="0" shrinkToFit="false"/>
      <protection locked="true" hidden="false"/>
    </xf>
    <xf numFmtId="164" fontId="6" fillId="0" borderId="14" xfId="0" applyFont="true" applyBorder="true" applyAlignment="true" applyProtection="false">
      <alignment horizontal="general" vertical="top" textRotation="0" wrapText="false" indent="0" shrinkToFit="false"/>
      <protection locked="true" hidden="false"/>
    </xf>
    <xf numFmtId="165" fontId="17" fillId="0" borderId="0" xfId="0" applyFont="true" applyBorder="true" applyAlignment="true" applyProtection="false">
      <alignment horizontal="right" vertical="top" textRotation="0" wrapText="true" indent="0" shrinkToFit="false"/>
      <protection locked="true" hidden="false"/>
    </xf>
    <xf numFmtId="165" fontId="36" fillId="0" borderId="25" xfId="0" applyFont="true" applyBorder="true" applyAlignment="true" applyProtection="false">
      <alignment horizontal="left" vertical="top" textRotation="0" wrapText="true" indent="0" shrinkToFit="false"/>
      <protection locked="true" hidden="false"/>
    </xf>
    <xf numFmtId="171" fontId="6" fillId="0" borderId="18" xfId="0" applyFont="true" applyBorder="true" applyAlignment="true" applyProtection="false">
      <alignment horizontal="left" vertical="top" textRotation="0" wrapText="true" indent="0" shrinkToFit="false"/>
      <protection locked="true" hidden="false"/>
    </xf>
    <xf numFmtId="165" fontId="6" fillId="0" borderId="14" xfId="0" applyFont="true" applyBorder="true" applyAlignment="true" applyProtection="false">
      <alignment horizontal="left" vertical="top" textRotation="0" wrapText="true" indent="0" shrinkToFit="false"/>
      <protection locked="true" hidden="false"/>
    </xf>
    <xf numFmtId="176" fontId="6" fillId="0" borderId="13" xfId="0" applyFont="true" applyBorder="true" applyAlignment="true" applyProtection="false">
      <alignment horizontal="general" vertical="center" textRotation="0" wrapText="true" indent="0" shrinkToFit="false"/>
      <protection locked="true" hidden="false"/>
    </xf>
    <xf numFmtId="174" fontId="6" fillId="0" borderId="13" xfId="0" applyFont="true" applyBorder="true" applyAlignment="true" applyProtection="false">
      <alignment horizontal="right" vertical="center" textRotation="0" wrapText="true" indent="0" shrinkToFit="false"/>
      <protection locked="true" hidden="false"/>
    </xf>
    <xf numFmtId="165" fontId="37" fillId="0" borderId="0"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true" applyAlignment="true" applyProtection="false">
      <alignment horizontal="general" vertical="center" textRotation="0" wrapText="true" indent="0" shrinkToFit="false"/>
      <protection locked="true" hidden="false"/>
    </xf>
    <xf numFmtId="164" fontId="22" fillId="17" borderId="0" xfId="0" applyFont="true" applyBorder="true" applyAlignment="true" applyProtection="false">
      <alignment horizontal="center" vertical="center" textRotation="0" wrapText="false" indent="0" shrinkToFit="false"/>
      <protection locked="true" hidden="false"/>
    </xf>
    <xf numFmtId="164" fontId="22" fillId="17" borderId="0" xfId="0" applyFont="true" applyBorder="true" applyAlignment="true" applyProtection="false">
      <alignment horizontal="center" vertical="center" textRotation="0" wrapText="true" indent="0" shrinkToFit="false"/>
      <protection locked="true" hidden="false"/>
    </xf>
    <xf numFmtId="164" fontId="6" fillId="0" borderId="12" xfId="0" applyFont="true" applyBorder="true" applyAlignment="true" applyProtection="false">
      <alignment horizontal="center" vertical="top" textRotation="0" wrapText="false" indent="0" shrinkToFit="false"/>
      <protection locked="true" hidden="false"/>
    </xf>
    <xf numFmtId="164" fontId="6" fillId="0" borderId="0" xfId="0" applyFont="true" applyBorder="true" applyAlignment="true" applyProtection="false">
      <alignment horizontal="center" vertical="top" textRotation="0" wrapText="false" indent="0" shrinkToFit="false"/>
      <protection locked="true" hidden="false"/>
    </xf>
    <xf numFmtId="164" fontId="24" fillId="17" borderId="0" xfId="0" applyFont="true" applyBorder="true" applyAlignment="true" applyProtection="false">
      <alignment horizontal="center" vertical="center" textRotation="0" wrapText="true" indent="0" shrinkToFit="false"/>
      <protection locked="true" hidden="false"/>
    </xf>
    <xf numFmtId="165" fontId="0" fillId="16" borderId="12" xfId="0" applyFont="true" applyBorder="true" applyAlignment="true" applyProtection="false">
      <alignment horizontal="center" vertical="center" textRotation="0" wrapText="false" indent="0" shrinkToFit="false"/>
      <protection locked="true" hidden="false"/>
    </xf>
    <xf numFmtId="164" fontId="24" fillId="17" borderId="12" xfId="0" applyFont="true" applyBorder="true" applyAlignment="true" applyProtection="false">
      <alignment horizontal="center" vertical="center" textRotation="0" wrapText="false" indent="0" shrinkToFit="false"/>
      <protection locked="true" hidden="false"/>
    </xf>
    <xf numFmtId="164" fontId="24" fillId="18" borderId="12" xfId="0" applyFont="true" applyBorder="true" applyAlignment="true" applyProtection="false">
      <alignment horizontal="center" vertical="center" textRotation="0" wrapText="false" indent="0" shrinkToFit="false"/>
      <protection locked="true" hidden="false"/>
    </xf>
    <xf numFmtId="164" fontId="0" fillId="19"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general" vertical="center" textRotation="0" wrapText="false" indent="0" shrinkToFit="false"/>
      <protection locked="true" hidden="false"/>
    </xf>
    <xf numFmtId="165" fontId="0" fillId="0" borderId="13" xfId="0" applyFont="true" applyBorder="true" applyAlignment="true" applyProtection="false">
      <alignment horizontal="general" vertical="center" textRotation="0" wrapText="false" indent="0" shrinkToFit="false"/>
      <protection locked="true" hidden="false"/>
    </xf>
    <xf numFmtId="165" fontId="6" fillId="0" borderId="13" xfId="0" applyFont="true" applyBorder="true" applyAlignment="true" applyProtection="false">
      <alignment horizontal="left" vertical="center" textRotation="0" wrapText="false" indent="0" shrinkToFit="false"/>
      <protection locked="true" hidden="false"/>
    </xf>
    <xf numFmtId="164" fontId="6" fillId="0" borderId="42" xfId="0" applyFont="true" applyBorder="true" applyAlignment="true" applyProtection="false">
      <alignment horizontal="general" vertical="center" textRotation="0" wrapText="false" indent="0" shrinkToFit="false"/>
      <protection locked="true" hidden="false"/>
    </xf>
    <xf numFmtId="164" fontId="6" fillId="0" borderId="43" xfId="0" applyFont="true" applyBorder="true" applyAlignment="true" applyProtection="false">
      <alignment horizontal="general" vertical="top" textRotation="0" wrapText="false" indent="0" shrinkToFit="false"/>
      <protection locked="true" hidden="false"/>
    </xf>
    <xf numFmtId="164" fontId="6" fillId="0" borderId="44" xfId="0" applyFont="true" applyBorder="true" applyAlignment="true" applyProtection="false">
      <alignment horizontal="general" vertical="top" textRotation="0" wrapText="false" indent="0" shrinkToFit="false"/>
      <protection locked="true" hidden="false"/>
    </xf>
    <xf numFmtId="165" fontId="0" fillId="0" borderId="19"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right" vertical="top" textRotation="0" wrapText="false" indent="0" shrinkToFit="false"/>
      <protection locked="true" hidden="false"/>
    </xf>
    <xf numFmtId="165" fontId="0" fillId="0" borderId="12" xfId="0" applyFont="true" applyBorder="true" applyAlignment="true" applyProtection="false">
      <alignment horizontal="general" vertical="top" textRotation="0" wrapText="false" indent="0" shrinkToFit="false"/>
      <protection locked="true" hidden="false"/>
    </xf>
    <xf numFmtId="165" fontId="6" fillId="0" borderId="19" xfId="0" applyFont="true" applyBorder="true" applyAlignment="true" applyProtection="false">
      <alignment horizontal="general" vertical="center" textRotation="0" wrapText="false" indent="0" shrinkToFit="false"/>
      <protection locked="true" hidden="false"/>
    </xf>
    <xf numFmtId="164" fontId="6" fillId="0" borderId="12" xfId="0" applyFont="true" applyBorder="true" applyAlignment="true" applyProtection="false">
      <alignment horizontal="general" vertical="center" textRotation="0" wrapText="false" indent="0" shrinkToFit="false"/>
      <protection locked="true" hidden="false"/>
    </xf>
    <xf numFmtId="165" fontId="6" fillId="0" borderId="12" xfId="0" applyFont="true" applyBorder="true" applyAlignment="true" applyProtection="false">
      <alignment horizontal="general" vertical="top" textRotation="0" wrapText="false" indent="0" shrinkToFit="false"/>
      <protection locked="true" hidden="false"/>
    </xf>
    <xf numFmtId="165" fontId="0" fillId="21" borderId="0" xfId="0" applyFont="true" applyBorder="true" applyAlignment="true" applyProtection="false">
      <alignment horizontal="right"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5" fontId="0" fillId="21" borderId="0" xfId="0" applyFont="true" applyBorder="true" applyAlignment="true" applyProtection="false">
      <alignment horizontal="left" vertical="center" textRotation="0" wrapText="false" indent="0" shrinkToFit="false"/>
      <protection locked="true" hidden="false"/>
    </xf>
    <xf numFmtId="165" fontId="0" fillId="0" borderId="0" xfId="0" applyFont="true" applyBorder="true" applyAlignment="true" applyProtection="false">
      <alignment horizontal="right" vertical="top" textRotation="0" wrapText="false" indent="0" shrinkToFit="false"/>
      <protection locked="true" hidden="false"/>
    </xf>
    <xf numFmtId="164" fontId="6" fillId="0" borderId="13" xfId="0" applyFont="true" applyBorder="true" applyAlignment="tru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left" vertical="center" textRotation="0" wrapText="false" indent="0" shrinkToFit="false"/>
      <protection locked="true" hidden="false"/>
    </xf>
    <xf numFmtId="165" fontId="53" fillId="21" borderId="0" xfId="0" applyFont="true" applyBorder="true" applyAlignment="true" applyProtection="false">
      <alignment horizontal="left" vertical="center" textRotation="0" wrapText="false" indent="0" shrinkToFit="false"/>
      <protection locked="true" hidden="false"/>
    </xf>
    <xf numFmtId="165" fontId="53" fillId="0" borderId="0" xfId="0" applyFont="true" applyBorder="true" applyAlignment="true" applyProtection="false">
      <alignment horizontal="left" vertical="center" textRotation="0" wrapText="false" indent="0" shrinkToFit="false"/>
      <protection locked="true" hidden="false"/>
    </xf>
    <xf numFmtId="164" fontId="0" fillId="0" borderId="13" xfId="0" applyFont="true" applyBorder="true" applyAlignment="true" applyProtection="false">
      <alignment horizontal="general" vertical="top" textRotation="0" wrapText="false" indent="0" shrinkToFit="false"/>
      <protection locked="true" hidden="false"/>
    </xf>
    <xf numFmtId="164" fontId="6" fillId="0" borderId="12" xfId="0" applyFont="true" applyBorder="true" applyAlignment="true" applyProtection="false">
      <alignment horizontal="right" vertical="top" textRotation="0" wrapText="false" indent="0" shrinkToFit="false"/>
      <protection locked="true" hidden="false"/>
    </xf>
    <xf numFmtId="165" fontId="0" fillId="0" borderId="13" xfId="0" applyFont="true" applyBorder="true" applyAlignment="true" applyProtection="false">
      <alignment horizontal="left" vertical="center" textRotation="0" wrapText="false" indent="0" shrinkToFit="false"/>
      <protection locked="true" hidden="false"/>
    </xf>
    <xf numFmtId="164" fontId="6" fillId="0" borderId="25" xfId="0" applyFont="true" applyBorder="true" applyAlignment="true" applyProtection="false">
      <alignment horizontal="right" vertical="top" textRotation="0" wrapText="false" indent="0" shrinkToFit="false"/>
      <protection locked="true" hidden="false"/>
    </xf>
    <xf numFmtId="165" fontId="0" fillId="0" borderId="25" xfId="0" applyFont="true" applyBorder="true" applyAlignment="true" applyProtection="false">
      <alignment horizontal="general" vertical="top" textRotation="0" wrapText="false" indent="0" shrinkToFit="false"/>
      <protection locked="true" hidden="false"/>
    </xf>
    <xf numFmtId="165" fontId="6" fillId="0" borderId="25" xfId="0" applyFont="true" applyBorder="true" applyAlignment="true" applyProtection="false">
      <alignment horizontal="general" vertical="center" textRotation="0" wrapText="false" indent="0" shrinkToFit="false"/>
      <protection locked="true" hidden="false"/>
    </xf>
    <xf numFmtId="164" fontId="6" fillId="0" borderId="37"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right" vertical="center" textRotation="0" wrapText="false" indent="0" shrinkToFit="false"/>
      <protection locked="true" hidden="false"/>
    </xf>
    <xf numFmtId="164" fontId="6" fillId="0" borderId="12" xfId="0" applyFont="true" applyBorder="true" applyAlignment="true" applyProtection="false">
      <alignment horizontal="general" vertical="top" textRotation="0" wrapText="false" indent="0" shrinkToFit="false"/>
      <protection locked="true" hidden="false"/>
    </xf>
    <xf numFmtId="165" fontId="6" fillId="21" borderId="0" xfId="0" applyFont="true" applyBorder="true" applyAlignment="true" applyProtection="false">
      <alignment horizontal="left" vertical="center" textRotation="0" wrapText="false" indent="0" shrinkToFit="false"/>
      <protection locked="true" hidden="false"/>
    </xf>
    <xf numFmtId="165" fontId="0" fillId="21" borderId="45" xfId="0" applyFont="true" applyBorder="true" applyAlignment="true" applyProtection="false">
      <alignment horizontal="center" vertical="bottom" textRotation="0" wrapText="false" indent="0" shrinkToFit="false"/>
      <protection locked="true" hidden="false"/>
    </xf>
    <xf numFmtId="164" fontId="103" fillId="0" borderId="44" xfId="0" applyFont="true" applyBorder="true" applyAlignment="true" applyProtection="false">
      <alignment horizontal="general" vertical="top" textRotation="0" wrapText="false" indent="0" shrinkToFit="false"/>
      <protection locked="true" hidden="false"/>
    </xf>
    <xf numFmtId="164" fontId="56" fillId="13" borderId="0" xfId="0" applyFont="true" applyBorder="true" applyAlignment="true" applyProtection="false">
      <alignment horizontal="general" vertical="center" textRotation="0" wrapText="true" indent="0" shrinkToFit="false"/>
      <protection locked="true" hidden="false"/>
    </xf>
    <xf numFmtId="165" fontId="0" fillId="0" borderId="45" xfId="0" applyFont="true" applyBorder="true" applyAlignment="true" applyProtection="false">
      <alignment horizontal="center" vertical="bottom" textRotation="0" wrapText="false" indent="0" shrinkToFit="false"/>
      <protection locked="true" hidden="false"/>
    </xf>
    <xf numFmtId="164" fontId="6" fillId="21" borderId="0" xfId="0" applyFont="true" applyBorder="true" applyAlignment="true" applyProtection="false">
      <alignment horizontal="center" vertical="center" textRotation="0" wrapText="false" indent="0" shrinkToFit="false"/>
      <protection locked="true" hidden="false"/>
    </xf>
    <xf numFmtId="164" fontId="0" fillId="5" borderId="37" xfId="0" applyFont="true" applyBorder="true" applyAlignment="true" applyProtection="true">
      <alignment horizontal="left" vertical="center" textRotation="0" wrapText="false" indent="0" shrinkToFit="false"/>
      <protection locked="false" hidden="false"/>
    </xf>
    <xf numFmtId="164" fontId="0" fillId="0" borderId="37" xfId="0" applyFont="true" applyBorder="true" applyAlignment="true" applyProtection="false">
      <alignment horizontal="right" vertical="center" textRotation="0" wrapText="false" indent="0" shrinkToFit="false"/>
      <protection locked="true" hidden="false"/>
    </xf>
    <xf numFmtId="171" fontId="0" fillId="7" borderId="37" xfId="0" applyFont="true" applyBorder="true" applyAlignment="true" applyProtection="false">
      <alignment horizontal="center" vertical="center" textRotation="0" wrapText="false" indent="0" shrinkToFit="false"/>
      <protection locked="true" hidden="false"/>
    </xf>
    <xf numFmtId="164" fontId="0" fillId="0" borderId="37"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5" fontId="0" fillId="0" borderId="0" xfId="0" applyFont="true" applyBorder="true" applyAlignment="true" applyProtection="false">
      <alignment horizontal="center" vertical="center" textRotation="0" wrapText="false" indent="0" shrinkToFit="false"/>
      <protection locked="true" hidden="false"/>
    </xf>
    <xf numFmtId="165" fontId="15" fillId="0" borderId="46" xfId="0" applyFont="true" applyBorder="true" applyAlignment="true" applyProtection="false">
      <alignment horizontal="center" vertical="center" textRotation="0" wrapText="false" indent="0" shrinkToFit="false"/>
      <protection locked="true" hidden="false"/>
    </xf>
    <xf numFmtId="165" fontId="0" fillId="0" borderId="46" xfId="0" applyFont="true" applyBorder="true" applyAlignment="true" applyProtection="false">
      <alignment horizontal="center" vertical="center" textRotation="0" wrapText="false" indent="0" shrinkToFit="false"/>
      <protection locked="true" hidden="false"/>
    </xf>
    <xf numFmtId="164" fontId="22" fillId="17" borderId="12" xfId="0" applyFont="true" applyBorder="true" applyAlignment="true" applyProtection="false">
      <alignment horizontal="right" vertical="center" textRotation="0" wrapText="false" indent="0" shrinkToFit="false"/>
      <protection locked="true" hidden="false"/>
    </xf>
    <xf numFmtId="164" fontId="6" fillId="5" borderId="22" xfId="0" applyFont="true" applyBorder="true" applyAlignment="true" applyProtection="true">
      <alignment horizontal="general" vertical="top" textRotation="0" wrapText="false" indent="0" shrinkToFit="false"/>
      <protection locked="false" hidden="false"/>
    </xf>
    <xf numFmtId="165" fontId="0" fillId="20" borderId="12" xfId="0" applyFont="true" applyBorder="true" applyAlignment="true" applyProtection="false">
      <alignment horizontal="right" vertical="center" textRotation="0" wrapText="false" indent="0" shrinkToFit="false"/>
      <protection locked="true" hidden="false"/>
    </xf>
    <xf numFmtId="164" fontId="6" fillId="20" borderId="18" xfId="0" applyFont="true" applyBorder="true" applyAlignment="true" applyProtection="false">
      <alignment horizontal="general" vertical="top" textRotation="0" wrapText="false" indent="0" shrinkToFit="false"/>
      <protection locked="true" hidden="false"/>
    </xf>
    <xf numFmtId="164" fontId="6" fillId="20" borderId="12" xfId="0" applyFont="true" applyBorder="true" applyAlignment="true" applyProtection="false">
      <alignment horizontal="general" vertical="top" textRotation="0" wrapText="false" indent="0" shrinkToFit="false"/>
      <protection locked="true" hidden="false"/>
    </xf>
    <xf numFmtId="164" fontId="6" fillId="0" borderId="13" xfId="0" applyFont="true" applyBorder="true" applyAlignment="true" applyProtection="false">
      <alignment horizontal="center" vertical="top" textRotation="0" wrapText="false" indent="0" shrinkToFit="false"/>
      <protection locked="true" hidden="false"/>
    </xf>
    <xf numFmtId="164" fontId="6" fillId="0" borderId="19" xfId="0" applyFont="true" applyBorder="true" applyAlignment="true" applyProtection="false">
      <alignment horizontal="center" vertical="top" textRotation="0" wrapText="false" indent="0" shrinkToFit="false"/>
      <protection locked="true" hidden="false"/>
    </xf>
    <xf numFmtId="171" fontId="6" fillId="7" borderId="28" xfId="0" applyFont="true" applyBorder="true" applyAlignment="true" applyProtection="false">
      <alignment horizontal="center" vertical="top" textRotation="0" wrapText="false" indent="0" shrinkToFit="false"/>
      <protection locked="true" hidden="false"/>
    </xf>
    <xf numFmtId="171" fontId="6" fillId="7" borderId="28" xfId="0" applyFont="true" applyBorder="true" applyAlignment="true" applyProtection="false">
      <alignment horizontal="left" vertical="top" textRotation="0" wrapText="false" indent="0" shrinkToFit="false"/>
      <protection locked="true" hidden="false"/>
    </xf>
    <xf numFmtId="171" fontId="0" fillId="0" borderId="35" xfId="0" applyFont="true" applyBorder="true" applyAlignment="true" applyProtection="false">
      <alignment horizontal="center" vertical="center" textRotation="0" wrapText="false" indent="0" shrinkToFit="false"/>
      <protection locked="true" hidden="false"/>
    </xf>
    <xf numFmtId="171" fontId="0" fillId="0" borderId="40" xfId="0" applyFont="true" applyBorder="true" applyAlignment="true" applyProtection="false">
      <alignment horizontal="center" vertical="center" textRotation="0" wrapText="false" indent="0" shrinkToFit="false"/>
      <protection locked="true" hidden="false"/>
    </xf>
    <xf numFmtId="171" fontId="6" fillId="0" borderId="12" xfId="0" applyFont="true" applyBorder="true" applyAlignment="true" applyProtection="false">
      <alignment horizontal="left" vertical="top" textRotation="0" wrapText="false" indent="0" shrinkToFit="false"/>
      <protection locked="true" hidden="false"/>
    </xf>
    <xf numFmtId="164" fontId="6" fillId="0" borderId="0" xfId="0" applyFont="true" applyBorder="true" applyAlignment="true" applyProtection="false">
      <alignment horizontal="left" vertical="top" textRotation="0" wrapText="false" indent="0" shrinkToFit="false"/>
      <protection locked="true" hidden="false"/>
    </xf>
    <xf numFmtId="171" fontId="0" fillId="0" borderId="38" xfId="0" applyFont="true" applyBorder="true" applyAlignment="true" applyProtection="false">
      <alignment horizontal="center" vertical="center" textRotation="0" wrapText="false" indent="0" shrinkToFit="false"/>
      <protection locked="true" hidden="false"/>
    </xf>
    <xf numFmtId="164" fontId="22" fillId="17" borderId="13" xfId="0" applyFont="true" applyBorder="true" applyAlignment="true" applyProtection="false">
      <alignment horizontal="right" vertical="center" textRotation="0" wrapText="false" indent="0" shrinkToFit="false"/>
      <protection locked="true" hidden="false"/>
    </xf>
    <xf numFmtId="165" fontId="0" fillId="21" borderId="0" xfId="0" applyFont="true" applyBorder="true" applyAlignment="true" applyProtection="false">
      <alignment horizontal="left" vertical="center" textRotation="0" wrapText="true" indent="0" shrinkToFit="false"/>
      <protection locked="true" hidden="false"/>
    </xf>
    <xf numFmtId="165" fontId="0" fillId="21" borderId="0" xfId="0" applyFont="true" applyBorder="true" applyAlignment="true" applyProtection="false">
      <alignment horizontal="right" vertical="top" textRotation="0" wrapText="true" indent="0" shrinkToFit="false"/>
      <protection locked="true" hidden="false"/>
    </xf>
    <xf numFmtId="164" fontId="6" fillId="9" borderId="12" xfId="0" applyFont="true" applyBorder="true" applyAlignment="true" applyProtection="false">
      <alignment horizontal="center" vertical="center" textRotation="0" wrapText="false" indent="0" shrinkToFit="false"/>
      <protection locked="true" hidden="false"/>
    </xf>
    <xf numFmtId="165" fontId="24" fillId="9" borderId="0" xfId="0" applyFont="true" applyBorder="true" applyAlignment="true" applyProtection="false">
      <alignment horizontal="general" vertical="bottom" textRotation="0" wrapText="false" indent="0" shrinkToFit="false"/>
      <protection locked="true" hidden="false"/>
    </xf>
    <xf numFmtId="165" fontId="86" fillId="9" borderId="0" xfId="0" applyFont="true" applyBorder="true" applyAlignment="true" applyProtection="false">
      <alignment horizontal="general" vertical="bottom" textRotation="0" wrapText="false" indent="0" shrinkToFit="false"/>
      <protection locked="true" hidden="false"/>
    </xf>
    <xf numFmtId="165" fontId="36" fillId="9" borderId="12" xfId="0" applyFont="true" applyBorder="true" applyAlignment="true" applyProtection="false">
      <alignment horizontal="general" vertical="center" textRotation="0" wrapText="true" indent="0" shrinkToFit="false"/>
      <protection locked="true" hidden="false"/>
    </xf>
    <xf numFmtId="165" fontId="26" fillId="9" borderId="0" xfId="0" applyFont="true" applyBorder="true" applyAlignment="true" applyProtection="false">
      <alignment horizontal="center" vertical="center" textRotation="0" wrapText="true" indent="0" shrinkToFit="false"/>
      <protection locked="true" hidden="false"/>
    </xf>
    <xf numFmtId="165" fontId="0" fillId="9" borderId="12" xfId="0" applyFont="true" applyBorder="true" applyAlignment="true" applyProtection="false">
      <alignment horizontal="left" vertical="top" textRotation="0" wrapText="true" indent="0" shrinkToFit="false"/>
      <protection locked="true" hidden="false"/>
    </xf>
    <xf numFmtId="165" fontId="48" fillId="9" borderId="0" xfId="0" applyFont="true" applyBorder="true" applyAlignment="true" applyProtection="false">
      <alignment horizontal="general" vertical="center" textRotation="0" wrapText="true" indent="0" shrinkToFit="false"/>
      <protection locked="true" hidden="false"/>
    </xf>
    <xf numFmtId="165" fontId="26" fillId="9" borderId="12" xfId="0" applyFont="true" applyBorder="true" applyAlignment="true" applyProtection="false">
      <alignment horizontal="center" vertical="center" textRotation="0" wrapText="false" indent="0" shrinkToFit="false"/>
      <protection locked="true" hidden="false"/>
    </xf>
    <xf numFmtId="165" fontId="68" fillId="9" borderId="0" xfId="0" applyFont="true" applyBorder="true" applyAlignment="true" applyProtection="false">
      <alignment horizontal="general" vertical="bottom" textRotation="0" wrapText="false" indent="0" shrinkToFit="false"/>
      <protection locked="true" hidden="false"/>
    </xf>
    <xf numFmtId="165" fontId="90" fillId="9" borderId="0" xfId="0" applyFont="true" applyBorder="true" applyAlignment="true" applyProtection="false">
      <alignment horizontal="general" vertical="bottom" textRotation="0" wrapText="false" indent="0" shrinkToFit="false"/>
      <protection locked="true" hidden="false"/>
    </xf>
    <xf numFmtId="164" fontId="37" fillId="5" borderId="18" xfId="0" applyFont="true" applyBorder="true" applyAlignment="true" applyProtection="true">
      <alignment horizontal="left" vertical="center" textRotation="0" wrapText="true" indent="0" shrinkToFit="false"/>
      <protection locked="false" hidden="false"/>
    </xf>
    <xf numFmtId="171" fontId="6" fillId="9" borderId="12" xfId="0" applyFont="true" applyBorder="true" applyAlignment="true" applyProtection="false">
      <alignment horizontal="general" vertical="top" textRotation="0" wrapText="true" indent="0" shrinkToFit="false"/>
      <protection locked="true" hidden="false"/>
    </xf>
    <xf numFmtId="172" fontId="6" fillId="8" borderId="13" xfId="0" applyFont="true" applyBorder="true" applyAlignment="true" applyProtection="true">
      <alignment horizontal="left" vertical="center" textRotation="0" wrapText="true" indent="1" shrinkToFit="false"/>
      <protection locked="false" hidden="false"/>
    </xf>
    <xf numFmtId="165" fontId="24" fillId="0" borderId="30" xfId="0" applyFont="true" applyBorder="true" applyAlignment="true" applyProtection="false">
      <alignment horizontal="left" vertical="center" textRotation="0" wrapText="true" indent="1" shrinkToFit="false"/>
      <protection locked="true" hidden="false"/>
    </xf>
    <xf numFmtId="165" fontId="104" fillId="0" borderId="0" xfId="0" applyFont="true" applyBorder="true" applyAlignment="true" applyProtection="false">
      <alignment horizontal="general" vertical="center" textRotation="0" wrapText="false" indent="0" shrinkToFit="false"/>
      <protection locked="true" hidden="false"/>
    </xf>
    <xf numFmtId="175" fontId="6" fillId="0" borderId="22" xfId="0" applyFont="true" applyBorder="true" applyAlignment="true" applyProtection="false">
      <alignment horizontal="center" vertical="center" textRotation="0" wrapText="true" indent="0" shrinkToFit="false"/>
      <protection locked="true" hidden="false"/>
    </xf>
    <xf numFmtId="175" fontId="6" fillId="0" borderId="25" xfId="0" applyFont="true" applyBorder="true" applyAlignment="true" applyProtection="false">
      <alignment horizontal="center" vertical="center" textRotation="0" wrapText="true" indent="0" shrinkToFit="false"/>
      <protection locked="true" hidden="false"/>
    </xf>
    <xf numFmtId="172" fontId="6" fillId="10" borderId="12" xfId="0" applyFont="true" applyBorder="true" applyAlignment="true" applyProtection="false">
      <alignment horizontal="left" vertical="center" textRotation="0" wrapText="true" indent="0" shrinkToFit="false"/>
      <protection locked="true" hidden="false"/>
    </xf>
    <xf numFmtId="172" fontId="6" fillId="8" borderId="12" xfId="0" applyFont="true" applyBorder="true" applyAlignment="true" applyProtection="true">
      <alignment horizontal="left" vertical="center" textRotation="0" wrapText="true" indent="1" shrinkToFit="false"/>
      <protection locked="false" hidden="false"/>
    </xf>
    <xf numFmtId="164" fontId="32" fillId="11" borderId="28" xfId="0" applyFont="true" applyBorder="true" applyAlignment="true" applyProtection="false">
      <alignment horizontal="right" vertical="center" textRotation="0" wrapText="true" indent="0" shrinkToFit="false"/>
      <protection locked="true" hidden="false"/>
    </xf>
    <xf numFmtId="164" fontId="0" fillId="11" borderId="21" xfId="0" applyFont="true" applyBorder="true" applyAlignment="true" applyProtection="false">
      <alignment horizontal="right" vertical="center" textRotation="0" wrapText="true" indent="0" shrinkToFit="false"/>
      <protection locked="true" hidden="false"/>
    </xf>
    <xf numFmtId="164" fontId="0" fillId="11" borderId="29" xfId="0" applyFont="true" applyBorder="true" applyAlignment="true" applyProtection="false">
      <alignment horizontal="right" vertical="center" textRotation="0" wrapText="true" indent="0" shrinkToFit="false"/>
      <protection locked="true" hidden="false"/>
    </xf>
    <xf numFmtId="165" fontId="104" fillId="0" borderId="0" xfId="0" applyFont="true" applyBorder="true" applyAlignment="true" applyProtection="false">
      <alignment horizontal="general" vertical="center" textRotation="0" wrapText="true" indent="0" shrinkToFit="false"/>
      <protection locked="true" hidden="false"/>
    </xf>
    <xf numFmtId="173" fontId="0" fillId="8" borderId="10" xfId="0" applyFont="true" applyBorder="true" applyAlignment="true" applyProtection="true">
      <alignment horizontal="left" vertical="center" textRotation="0" wrapText="true" indent="1" shrinkToFit="false"/>
      <protection locked="false" hidden="false"/>
    </xf>
    <xf numFmtId="179" fontId="6" fillId="8" borderId="12" xfId="0" applyFont="true" applyBorder="true" applyAlignment="true" applyProtection="true">
      <alignment horizontal="left" vertical="center" textRotation="0" wrapText="true" indent="1" shrinkToFit="false"/>
      <protection locked="false" hidden="false"/>
    </xf>
    <xf numFmtId="173" fontId="26" fillId="0" borderId="0" xfId="0" applyFont="true" applyBorder="true" applyAlignment="true" applyProtection="false">
      <alignment horizontal="center" vertical="center" textRotation="0" wrapText="true" indent="0" shrinkToFit="false"/>
      <protection locked="true" hidden="false"/>
    </xf>
    <xf numFmtId="175" fontId="6" fillId="0" borderId="18" xfId="0" applyFont="true" applyBorder="true" applyAlignment="true" applyProtection="false">
      <alignment horizontal="center" vertical="center" textRotation="0" wrapText="true" indent="0" shrinkToFit="false"/>
      <protection locked="true" hidden="false"/>
    </xf>
    <xf numFmtId="171" fontId="6" fillId="7" borderId="18" xfId="0" applyFont="true" applyBorder="true" applyAlignment="true" applyProtection="false">
      <alignment horizontal="left" vertical="center" textRotation="0" wrapText="true" indent="1" shrinkToFit="false"/>
      <protection locked="true" hidden="false"/>
    </xf>
    <xf numFmtId="172" fontId="6" fillId="8" borderId="18" xfId="0" applyFont="true" applyBorder="true" applyAlignment="true" applyProtection="true">
      <alignment horizontal="left" vertical="center" textRotation="0" wrapText="true" indent="1" shrinkToFit="false"/>
      <protection locked="false" hidden="false"/>
    </xf>
    <xf numFmtId="171" fontId="6" fillId="0" borderId="19" xfId="0" applyFont="true" applyBorder="true" applyAlignment="true" applyProtection="false">
      <alignment horizontal="left" vertical="top" textRotation="0" wrapText="true" indent="0" shrinkToFit="false"/>
      <protection locked="true" hidden="false"/>
    </xf>
    <xf numFmtId="171" fontId="6" fillId="0" borderId="18" xfId="0" applyFont="true" applyBorder="true" applyAlignment="true" applyProtection="false">
      <alignment horizontal="left" vertical="center" textRotation="0" wrapText="true" indent="1" shrinkToFit="false"/>
      <protection locked="true" hidden="false"/>
    </xf>
    <xf numFmtId="172" fontId="6" fillId="0" borderId="18" xfId="0" applyFont="true" applyBorder="true" applyAlignment="true" applyProtection="false">
      <alignment horizontal="left" vertical="center" textRotation="0" wrapText="true" indent="1" shrinkToFit="false"/>
      <protection locked="true" hidden="false"/>
    </xf>
    <xf numFmtId="164" fontId="37" fillId="11" borderId="21" xfId="0" applyFont="true" applyBorder="true" applyAlignment="true" applyProtection="false">
      <alignment horizontal="left" vertical="center" textRotation="0" wrapText="true" indent="0" shrinkToFit="false"/>
      <protection locked="true" hidden="false"/>
    </xf>
    <xf numFmtId="164" fontId="37" fillId="11" borderId="29" xfId="0" applyFont="true" applyBorder="true" applyAlignment="true" applyProtection="false">
      <alignment horizontal="left" vertical="center" textRotation="0" wrapText="true" indent="0" shrinkToFit="false"/>
      <protection locked="true" hidden="false"/>
    </xf>
    <xf numFmtId="165" fontId="6" fillId="9" borderId="30" xfId="0" applyFont="true" applyBorder="true" applyAlignment="true" applyProtection="false">
      <alignment horizontal="general" vertical="center" textRotation="0" wrapText="true" indent="0" shrinkToFit="false"/>
      <protection locked="true" hidden="false"/>
    </xf>
    <xf numFmtId="165" fontId="26" fillId="0" borderId="21" xfId="0" applyFont="true" applyBorder="true" applyAlignment="true" applyProtection="false">
      <alignment horizontal="center" vertical="center" textRotation="0" wrapText="true" indent="0" shrinkToFit="false"/>
      <protection locked="true" hidden="false"/>
    </xf>
    <xf numFmtId="165" fontId="6" fillId="9" borderId="16" xfId="0" applyFont="true" applyBorder="true" applyAlignment="true" applyProtection="false">
      <alignment horizontal="general" vertical="center" textRotation="0" wrapText="true" indent="0" shrinkToFit="false"/>
      <protection locked="true" hidden="false"/>
    </xf>
    <xf numFmtId="165" fontId="52" fillId="0" borderId="12" xfId="46" applyFont="true" applyBorder="true" applyAlignment="true" applyProtection="false">
      <alignment horizontal="center" vertical="center" textRotation="0" wrapText="true" indent="0" shrinkToFit="false"/>
      <protection locked="true" hidden="false"/>
    </xf>
    <xf numFmtId="171" fontId="6" fillId="0" borderId="10" xfId="0" applyFont="true" applyBorder="true" applyAlignment="true" applyProtection="false">
      <alignment horizontal="left" vertical="center" textRotation="0" wrapText="true" indent="0" shrinkToFit="false"/>
      <protection locked="true" hidden="false"/>
    </xf>
    <xf numFmtId="175" fontId="56" fillId="0" borderId="14" xfId="0" applyFont="true" applyBorder="true" applyAlignment="true" applyProtection="false">
      <alignment horizontal="center" vertical="center" textRotation="0" wrapText="true" indent="0" shrinkToFit="false"/>
      <protection locked="true" hidden="false"/>
    </xf>
    <xf numFmtId="175" fontId="56" fillId="0" borderId="15" xfId="0" applyFont="true" applyBorder="true" applyAlignment="true" applyProtection="false">
      <alignment horizontal="center" vertical="center" textRotation="0" wrapText="true" indent="0" shrinkToFit="false"/>
      <protection locked="true" hidden="false"/>
    </xf>
    <xf numFmtId="165" fontId="51" fillId="0" borderId="0" xfId="0" applyFont="true" applyBorder="true" applyAlignment="true" applyProtection="false">
      <alignment horizontal="center" vertical="center" textRotation="0" wrapText="true" indent="0" shrinkToFit="false"/>
      <protection locked="true" hidden="false"/>
    </xf>
    <xf numFmtId="171" fontId="6" fillId="7" borderId="29" xfId="0" applyFont="true" applyBorder="true" applyAlignment="true" applyProtection="false">
      <alignment horizontal="left" vertical="center" textRotation="0" wrapText="true" indent="0" shrinkToFit="false"/>
      <protection locked="true" hidden="false"/>
    </xf>
    <xf numFmtId="164" fontId="6" fillId="10" borderId="28" xfId="0" applyFont="true" applyBorder="true" applyAlignment="true" applyProtection="false">
      <alignment horizontal="left" vertical="center" textRotation="0" wrapText="true" indent="0" shrinkToFit="false"/>
      <protection locked="true" hidden="false"/>
    </xf>
    <xf numFmtId="164" fontId="6" fillId="8" borderId="21" xfId="0" applyFont="true" applyBorder="true" applyAlignment="true" applyProtection="true">
      <alignment horizontal="left" vertical="center" textRotation="0" wrapText="true" indent="0" shrinkToFit="false"/>
      <protection locked="false" hidden="false"/>
    </xf>
    <xf numFmtId="164" fontId="6" fillId="8" borderId="28" xfId="0" applyFont="true" applyBorder="true" applyAlignment="true" applyProtection="true">
      <alignment horizontal="left" vertical="center" textRotation="0" wrapText="true" indent="0" shrinkToFit="false"/>
      <protection locked="false" hidden="false"/>
    </xf>
    <xf numFmtId="164" fontId="36" fillId="0" borderId="12" xfId="0" applyFont="true" applyBorder="true" applyAlignment="true" applyProtection="false">
      <alignment horizontal="left" vertical="top" textRotation="0" wrapText="true" indent="0" shrinkToFit="false"/>
      <protection locked="true" hidden="false"/>
    </xf>
    <xf numFmtId="164" fontId="46" fillId="0" borderId="0" xfId="0" applyFont="true" applyBorder="true" applyAlignment="true" applyProtection="false">
      <alignment horizontal="center" vertical="center" textRotation="0" wrapText="false" indent="0" shrinkToFit="false"/>
      <protection locked="true" hidden="false"/>
    </xf>
    <xf numFmtId="165" fontId="36" fillId="0" borderId="10" xfId="0" applyFont="true" applyBorder="true" applyAlignment="true" applyProtection="false">
      <alignment horizontal="left" vertical="center" textRotation="0" wrapText="true" indent="1" shrinkToFit="false"/>
      <protection locked="true" hidden="false"/>
    </xf>
    <xf numFmtId="165" fontId="105" fillId="9" borderId="0" xfId="0" applyFont="true" applyBorder="true" applyAlignment="true" applyProtection="false">
      <alignment horizontal="center" vertical="center" textRotation="0" wrapText="true" indent="0" shrinkToFit="false"/>
      <protection locked="true" hidden="false"/>
    </xf>
    <xf numFmtId="165" fontId="22" fillId="9" borderId="0" xfId="0" applyFont="true" applyBorder="true" applyAlignment="tru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general" vertical="top" textRotation="0" wrapText="false" indent="0" shrinkToFit="false"/>
      <protection locked="true" hidden="false"/>
    </xf>
    <xf numFmtId="164" fontId="100" fillId="0" borderId="0" xfId="0" applyFont="true" applyBorder="true" applyAlignment="true" applyProtection="false">
      <alignment horizontal="left" vertical="top" textRotation="0" wrapText="true" indent="0" shrinkToFit="false"/>
      <protection locked="true" hidden="false"/>
    </xf>
    <xf numFmtId="165" fontId="6" fillId="0" borderId="0" xfId="0" applyFont="true" applyBorder="true" applyAlignment="true" applyProtection="false">
      <alignment horizontal="general" vertical="bottom" textRotation="0" wrapText="false" indent="0" shrinkToFit="false"/>
      <protection locked="true" hidden="false"/>
    </xf>
    <xf numFmtId="165" fontId="46" fillId="0" borderId="0" xfId="0" applyFont="true" applyBorder="true" applyAlignment="true" applyProtection="false">
      <alignment horizontal="center" vertical="center" textRotation="0" wrapText="false" indent="0" shrinkToFit="false"/>
      <protection locked="true" hidden="false"/>
    </xf>
    <xf numFmtId="165" fontId="46" fillId="9" borderId="0" xfId="0" applyFont="true" applyBorder="true" applyAlignment="true" applyProtection="false">
      <alignment horizontal="center" vertical="center" textRotation="0" wrapText="false" indent="0" shrinkToFit="false"/>
      <protection locked="true" hidden="false"/>
    </xf>
    <xf numFmtId="165" fontId="6" fillId="0" borderId="10" xfId="0" applyFont="true" applyBorder="true" applyAlignment="true" applyProtection="false">
      <alignment horizontal="left" vertical="center" textRotation="0" wrapText="true" indent="1" shrinkToFit="false"/>
      <protection locked="true" hidden="false"/>
    </xf>
    <xf numFmtId="165" fontId="67" fillId="0" borderId="0" xfId="0" applyFont="true" applyBorder="true" applyAlignment="true" applyProtection="false">
      <alignment horizontal="general" vertical="bottom" textRotation="0" wrapText="false" indent="0" shrinkToFit="false"/>
      <protection locked="true" hidden="false"/>
    </xf>
    <xf numFmtId="165" fontId="6" fillId="9" borderId="25" xfId="0" applyFont="true" applyBorder="true" applyAlignment="true" applyProtection="false">
      <alignment horizontal="center" vertical="center" textRotation="0" wrapText="false" indent="0" shrinkToFit="false"/>
      <protection locked="true" hidden="false"/>
    </xf>
    <xf numFmtId="164" fontId="6" fillId="0" borderId="25" xfId="0" applyFont="true" applyBorder="true" applyAlignment="true" applyProtection="false">
      <alignment horizontal="left" vertical="center" textRotation="0" wrapText="true" indent="0" shrinkToFit="false"/>
      <protection locked="true" hidden="false"/>
    </xf>
    <xf numFmtId="164" fontId="55" fillId="11" borderId="19" xfId="0" applyFont="true" applyBorder="true" applyAlignment="true" applyProtection="false">
      <alignment horizontal="left" vertical="center" textRotation="0" wrapText="false" indent="0" shrinkToFit="false"/>
      <protection locked="true" hidden="false"/>
    </xf>
    <xf numFmtId="164" fontId="56" fillId="0" borderId="0" xfId="0" applyFont="true" applyBorder="true" applyAlignment="true" applyProtection="false">
      <alignment horizontal="right" vertical="top" textRotation="0" wrapText="false" indent="0" shrinkToFit="false"/>
      <protection locked="true" hidden="false"/>
    </xf>
    <xf numFmtId="164" fontId="6" fillId="0" borderId="0" xfId="0" applyFont="true" applyBorder="true" applyAlignment="true" applyProtection="false">
      <alignment horizontal="left" vertical="top" textRotation="0" wrapText="true" indent="0" shrinkToFit="false"/>
      <protection locked="true" hidden="false"/>
    </xf>
    <xf numFmtId="164" fontId="0" fillId="0" borderId="10" xfId="0" applyFont="true" applyBorder="true" applyAlignment="true" applyProtection="false">
      <alignment horizontal="left" vertical="center" textRotation="0" wrapText="false" indent="1" shrinkToFit="false"/>
      <protection locked="true" hidden="false"/>
    </xf>
    <xf numFmtId="164" fontId="74" fillId="0" borderId="0" xfId="0" applyFont="true" applyBorder="true" applyAlignment="true" applyProtection="false">
      <alignment horizontal="general" vertical="top" textRotation="0" wrapText="false" indent="0" shrinkToFit="false"/>
      <protection locked="true" hidden="false"/>
    </xf>
    <xf numFmtId="164" fontId="0" fillId="0" borderId="47" xfId="0" applyFont="true" applyBorder="true" applyAlignment="true" applyProtection="false">
      <alignment horizontal="center" vertical="center" textRotation="0" wrapText="false" indent="0" shrinkToFit="false"/>
      <protection locked="true" hidden="false"/>
    </xf>
    <xf numFmtId="164" fontId="0" fillId="22" borderId="0" xfId="0" applyFont="true" applyBorder="true" applyAlignment="true" applyProtection="false">
      <alignment horizontal="general" vertical="top" textRotation="0" wrapText="false" indent="0" shrinkToFit="false"/>
      <protection locked="true" hidden="false"/>
    </xf>
    <xf numFmtId="165" fontId="46" fillId="9" borderId="0" xfId="0" applyFont="true" applyBorder="true" applyAlignment="true" applyProtection="false">
      <alignment horizontal="center" vertical="bottom" textRotation="0" wrapText="false" indent="0" shrinkToFit="false"/>
      <protection locked="true" hidden="false"/>
    </xf>
    <xf numFmtId="171" fontId="24" fillId="0" borderId="18" xfId="0" applyFont="true" applyBorder="true" applyAlignment="true" applyProtection="false">
      <alignment horizontal="center" vertical="center" textRotation="0" wrapText="true" indent="0" shrinkToFit="false"/>
      <protection locked="true" hidden="false"/>
    </xf>
    <xf numFmtId="172" fontId="6" fillId="10" borderId="12" xfId="0" applyFont="true" applyBorder="true" applyAlignment="true" applyProtection="false">
      <alignment horizontal="left" vertical="center" textRotation="0" wrapText="true" indent="1" shrinkToFit="false"/>
      <protection locked="true" hidden="false"/>
    </xf>
    <xf numFmtId="164" fontId="6" fillId="7" borderId="12" xfId="0" applyFont="true" applyBorder="true" applyAlignment="true" applyProtection="false">
      <alignment horizontal="center" vertical="center" textRotation="0" wrapText="true" indent="0" shrinkToFit="false"/>
      <protection locked="true" hidden="false"/>
    </xf>
    <xf numFmtId="164" fontId="75" fillId="22" borderId="0" xfId="0" applyFont="true" applyBorder="true" applyAlignment="true" applyProtection="false">
      <alignment horizontal="general" vertical="top" textRotation="0" wrapText="false" indent="0" shrinkToFit="false"/>
      <protection locked="true" hidden="false"/>
    </xf>
    <xf numFmtId="164" fontId="75" fillId="0" borderId="0" xfId="0" applyFont="true" applyBorder="true" applyAlignment="true" applyProtection="false">
      <alignment horizontal="general" vertical="top" textRotation="0" wrapText="false" indent="0" shrinkToFit="false"/>
      <protection locked="true" hidden="false"/>
    </xf>
    <xf numFmtId="172" fontId="66" fillId="0" borderId="25" xfId="0" applyFont="true" applyBorder="true" applyAlignment="true" applyProtection="false">
      <alignment horizontal="center" vertical="center" textRotation="0" wrapText="true" indent="0" shrinkToFit="false"/>
      <protection locked="true" hidden="false"/>
    </xf>
    <xf numFmtId="171" fontId="64" fillId="0" borderId="12" xfId="0" applyFont="true" applyBorder="true" applyAlignment="true" applyProtection="false">
      <alignment horizontal="left" vertical="center" textRotation="0" wrapText="true" indent="1" shrinkToFit="false"/>
      <protection locked="true" hidden="false"/>
    </xf>
    <xf numFmtId="165" fontId="66" fillId="0" borderId="25" xfId="0" applyFont="true" applyBorder="true" applyAlignment="true" applyProtection="false">
      <alignment horizontal="center" vertical="center" textRotation="0" wrapText="true" indent="0" shrinkToFit="false"/>
      <protection locked="true" hidden="false"/>
    </xf>
    <xf numFmtId="165" fontId="54" fillId="0" borderId="0" xfId="0" applyFont="true" applyBorder="true" applyAlignment="true" applyProtection="false">
      <alignment horizontal="general" vertical="center" textRotation="0" wrapText="false" indent="0" shrinkToFit="false"/>
      <protection locked="true" hidden="false"/>
    </xf>
    <xf numFmtId="164" fontId="0" fillId="0" borderId="12" xfId="0" applyFont="true" applyBorder="true" applyAlignment="true" applyProtection="false">
      <alignment horizontal="general" vertical="top" textRotation="0" wrapText="false" indent="0" shrinkToFit="false"/>
      <protection locked="true" hidden="false"/>
    </xf>
    <xf numFmtId="165" fontId="52" fillId="0" borderId="12" xfId="0" applyFont="true" applyBorder="true" applyAlignment="true" applyProtection="false">
      <alignment horizontal="center" vertical="center" textRotation="0" wrapText="true" indent="0" shrinkToFit="false"/>
      <protection locked="true" hidden="false"/>
    </xf>
    <xf numFmtId="164" fontId="6" fillId="0" borderId="19" xfId="0" applyFont="true" applyBorder="true" applyAlignment="true" applyProtection="false">
      <alignment horizontal="center" vertical="center" textRotation="0" wrapText="true" indent="0" shrinkToFit="false"/>
      <protection locked="true" hidden="false"/>
    </xf>
    <xf numFmtId="164" fontId="64" fillId="8" borderId="12" xfId="0" applyFont="true" applyBorder="true" applyAlignment="true" applyProtection="true">
      <alignment horizontal="left" vertical="center" textRotation="0" wrapText="true" indent="1" shrinkToFit="false"/>
      <protection locked="false" hidden="false"/>
    </xf>
    <xf numFmtId="165" fontId="6" fillId="9" borderId="0" xfId="0" applyFont="true" applyBorder="true" applyAlignment="true" applyProtection="false">
      <alignment horizontal="center" vertical="top" textRotation="0" wrapText="true" indent="0" shrinkToFit="false"/>
      <protection locked="true" hidden="false"/>
    </xf>
    <xf numFmtId="165" fontId="26" fillId="9" borderId="12" xfId="0" applyFont="true" applyBorder="true" applyAlignment="true" applyProtection="false">
      <alignment horizontal="center" vertical="center" textRotation="0" wrapText="true" indent="0" shrinkToFit="false"/>
      <protection locked="true" hidden="false"/>
    </xf>
    <xf numFmtId="172" fontId="6" fillId="10" borderId="29" xfId="0" applyFont="true" applyBorder="true" applyAlignment="true" applyProtection="false">
      <alignment horizontal="left" vertical="center" textRotation="0" wrapText="true" indent="0" shrinkToFit="false"/>
      <protection locked="true" hidden="false"/>
    </xf>
    <xf numFmtId="164" fontId="106" fillId="8" borderId="12" xfId="0" applyFont="true" applyBorder="true" applyAlignment="true" applyProtection="true">
      <alignment horizontal="left" vertical="center" textRotation="0" wrapText="true" indent="0" shrinkToFit="false"/>
      <protection locked="false" hidden="false"/>
    </xf>
    <xf numFmtId="164" fontId="0" fillId="8" borderId="12" xfId="0" applyFont="true" applyBorder="true" applyAlignment="true" applyProtection="true">
      <alignment horizontal="center" vertical="center" textRotation="0" wrapText="true" indent="0" shrinkToFit="false"/>
      <protection locked="false" hidden="false"/>
    </xf>
    <xf numFmtId="165" fontId="0" fillId="8" borderId="13" xfId="0" applyFont="true" applyBorder="true" applyAlignment="true" applyProtection="true">
      <alignment horizontal="left" vertical="center" textRotation="0" wrapText="true" indent="2" shrinkToFit="false"/>
      <protection locked="false" hidden="false"/>
    </xf>
    <xf numFmtId="165" fontId="46" fillId="0" borderId="17" xfId="0" applyFont="true" applyBorder="true" applyAlignment="true" applyProtection="false">
      <alignment horizontal="center" vertical="center" textRotation="0" wrapText="true" indent="0" shrinkToFit="false"/>
      <protection locked="true" hidden="false"/>
    </xf>
    <xf numFmtId="164" fontId="6" fillId="0" borderId="12" xfId="0" applyFont="true" applyBorder="true" applyAlignment="true" applyProtection="false">
      <alignment horizontal="center" vertical="top" textRotation="0" wrapText="true" indent="0" shrinkToFit="false"/>
      <protection locked="true" hidden="false"/>
    </xf>
    <xf numFmtId="165" fontId="0" fillId="7" borderId="12" xfId="0" applyFont="true" applyBorder="true" applyAlignment="true" applyProtection="false">
      <alignment horizontal="left" vertical="top" textRotation="0" wrapText="true" indent="1" shrinkToFit="false"/>
      <protection locked="true" hidden="false"/>
    </xf>
    <xf numFmtId="164" fontId="6" fillId="10" borderId="12" xfId="0" applyFont="true" applyBorder="true" applyAlignment="true" applyProtection="false">
      <alignment horizontal="center" vertical="top" textRotation="0" wrapText="true" indent="0" shrinkToFit="false"/>
      <protection locked="true" hidden="false"/>
    </xf>
    <xf numFmtId="173" fontId="0" fillId="8" borderId="12" xfId="0" applyFont="true" applyBorder="true" applyAlignment="true" applyProtection="true">
      <alignment horizontal="center" vertical="top" textRotation="0" wrapText="true" indent="0" shrinkToFit="false"/>
      <protection locked="false" hidden="false"/>
    </xf>
    <xf numFmtId="173" fontId="0" fillId="5" borderId="12" xfId="0" applyFont="true" applyBorder="true" applyAlignment="true" applyProtection="true">
      <alignment horizontal="center" vertical="top" textRotation="0" wrapText="true" indent="0" shrinkToFit="false"/>
      <protection locked="false" hidden="false"/>
    </xf>
    <xf numFmtId="164" fontId="6" fillId="10" borderId="12" xfId="0" applyFont="true" applyBorder="true" applyAlignment="true" applyProtection="false">
      <alignment horizontal="left" vertical="top" textRotation="0" wrapText="true" indent="0" shrinkToFit="false"/>
      <protection locked="true" hidden="false"/>
    </xf>
    <xf numFmtId="164" fontId="6" fillId="8" borderId="12" xfId="0" applyFont="true" applyBorder="true" applyAlignment="true" applyProtection="true">
      <alignment horizontal="left" vertical="top" textRotation="0" wrapText="true" indent="0" shrinkToFit="false"/>
      <protection locked="false" hidden="false"/>
    </xf>
    <xf numFmtId="164" fontId="0" fillId="7" borderId="12" xfId="0" applyFont="true" applyBorder="true" applyAlignment="true" applyProtection="false">
      <alignment horizontal="center" vertical="top" textRotation="0" wrapText="true" indent="0" shrinkToFit="false"/>
      <protection locked="true" hidden="false"/>
    </xf>
    <xf numFmtId="171" fontId="6" fillId="7" borderId="12" xfId="0" applyFont="true" applyBorder="true" applyAlignment="true" applyProtection="false">
      <alignment horizontal="center" vertical="top" textRotation="0" wrapText="true" indent="0" shrinkToFit="false"/>
      <protection locked="true" hidden="false"/>
    </xf>
    <xf numFmtId="165" fontId="6" fillId="5" borderId="12" xfId="0" applyFont="true" applyBorder="true" applyAlignment="true" applyProtection="true">
      <alignment horizontal="left" vertical="top" textRotation="0" wrapText="true" indent="0" shrinkToFit="false"/>
      <protection locked="false" hidden="false"/>
    </xf>
    <xf numFmtId="164" fontId="6" fillId="8" borderId="25" xfId="0" applyFont="true" applyBorder="true" applyAlignment="true" applyProtection="true">
      <alignment horizontal="left" vertical="center" textRotation="0" wrapText="true" indent="1" shrinkToFit="false"/>
      <protection locked="false" hidden="false"/>
    </xf>
    <xf numFmtId="165" fontId="6" fillId="0" borderId="17" xfId="0" applyFont="true" applyBorder="true" applyAlignment="true" applyProtection="false">
      <alignment horizontal="general" vertical="top" textRotation="0" wrapText="true" indent="0" shrinkToFit="false"/>
      <protection locked="true" hidden="false"/>
    </xf>
    <xf numFmtId="164" fontId="6" fillId="0" borderId="30" xfId="0" applyFont="true" applyBorder="true" applyAlignment="true" applyProtection="false">
      <alignment horizontal="center" vertical="top" textRotation="0" wrapText="true" indent="0" shrinkToFit="false"/>
      <protection locked="true" hidden="false"/>
    </xf>
    <xf numFmtId="165" fontId="0" fillId="7" borderId="30" xfId="0" applyFont="true" applyBorder="true" applyAlignment="true" applyProtection="false">
      <alignment horizontal="left" vertical="top" textRotation="0" wrapText="true" indent="1" shrinkToFit="false"/>
      <protection locked="true" hidden="false"/>
    </xf>
    <xf numFmtId="164" fontId="6" fillId="10" borderId="30" xfId="0" applyFont="true" applyBorder="true" applyAlignment="true" applyProtection="false">
      <alignment horizontal="center" vertical="top" textRotation="0" wrapText="true" indent="0" shrinkToFit="false"/>
      <protection locked="true" hidden="false"/>
    </xf>
    <xf numFmtId="164" fontId="0" fillId="8" borderId="30" xfId="0" applyFont="true" applyBorder="true" applyAlignment="true" applyProtection="true">
      <alignment horizontal="center" vertical="top" textRotation="0" wrapText="true" indent="0" shrinkToFit="false"/>
      <protection locked="false" hidden="false"/>
    </xf>
    <xf numFmtId="164" fontId="0" fillId="5" borderId="30" xfId="0" applyFont="true" applyBorder="true" applyAlignment="true" applyProtection="true">
      <alignment horizontal="center" vertical="top" textRotation="0" wrapText="true" indent="0" shrinkToFit="false"/>
      <protection locked="false" hidden="false"/>
    </xf>
    <xf numFmtId="164" fontId="6" fillId="10" borderId="30" xfId="0" applyFont="true" applyBorder="true" applyAlignment="true" applyProtection="false">
      <alignment horizontal="left" vertical="top" textRotation="0" wrapText="true" indent="0" shrinkToFit="false"/>
      <protection locked="true" hidden="false"/>
    </xf>
    <xf numFmtId="164" fontId="6" fillId="8" borderId="30" xfId="0" applyFont="true" applyBorder="true" applyAlignment="true" applyProtection="true">
      <alignment horizontal="left" vertical="top" textRotation="0" wrapText="true" indent="0" shrinkToFit="false"/>
      <protection locked="false" hidden="false"/>
    </xf>
    <xf numFmtId="164" fontId="0" fillId="7" borderId="30" xfId="0" applyFont="true" applyBorder="true" applyAlignment="true" applyProtection="false">
      <alignment horizontal="center" vertical="top" textRotation="0" wrapText="true" indent="0" shrinkToFit="false"/>
      <protection locked="true" hidden="false"/>
    </xf>
    <xf numFmtId="165" fontId="6" fillId="7" borderId="30" xfId="0" applyFont="true" applyBorder="true" applyAlignment="true" applyProtection="false">
      <alignment horizontal="center" vertical="top" textRotation="0" wrapText="true" indent="0" shrinkToFit="false"/>
      <protection locked="true" hidden="false"/>
    </xf>
    <xf numFmtId="165" fontId="6" fillId="5" borderId="30" xfId="0" applyFont="true" applyBorder="true" applyAlignment="true" applyProtection="true">
      <alignment horizontal="left" vertical="top" textRotation="0" wrapText="true" indent="0" shrinkToFit="false"/>
      <protection locked="false" hidden="false"/>
    </xf>
    <xf numFmtId="171" fontId="107" fillId="0" borderId="48" xfId="0" applyFont="true" applyBorder="true" applyAlignment="true" applyProtection="false">
      <alignment horizontal="left" vertical="center" textRotation="0" wrapText="false" indent="1" shrinkToFit="false"/>
      <protection locked="true" hidden="false"/>
    </xf>
    <xf numFmtId="165" fontId="107" fillId="0" borderId="49" xfId="0" applyFont="true" applyBorder="true" applyAlignment="true" applyProtection="false">
      <alignment horizontal="left" vertical="center" textRotation="0" wrapText="false" indent="1" shrinkToFit="false"/>
      <protection locked="true" hidden="false"/>
    </xf>
    <xf numFmtId="165" fontId="0" fillId="0" borderId="49" xfId="0" applyFont="true" applyBorder="true" applyAlignment="true" applyProtection="false">
      <alignment horizontal="left" vertical="center" textRotation="0" wrapText="true" indent="0" shrinkToFit="false"/>
      <protection locked="true" hidden="false"/>
    </xf>
    <xf numFmtId="165" fontId="6" fillId="0" borderId="49" xfId="0" applyFont="true" applyBorder="true" applyAlignment="true" applyProtection="false">
      <alignment horizontal="general" vertical="center" textRotation="0" wrapText="true" indent="0" shrinkToFit="false"/>
      <protection locked="true" hidden="false"/>
    </xf>
    <xf numFmtId="165" fontId="6" fillId="0" borderId="50" xfId="0" applyFont="true" applyBorder="true" applyAlignment="true" applyProtection="false">
      <alignment horizontal="general" vertical="center" textRotation="0" wrapText="true" indent="0" shrinkToFit="false"/>
      <protection locked="true" hidden="false"/>
    </xf>
    <xf numFmtId="165" fontId="6" fillId="0" borderId="51" xfId="0" applyFont="true" applyBorder="true" applyAlignment="true" applyProtection="false">
      <alignment horizontal="general" vertical="center" textRotation="0" wrapText="true" indent="0" shrinkToFit="false"/>
      <protection locked="true" hidden="false"/>
    </xf>
    <xf numFmtId="164" fontId="6" fillId="7" borderId="52" xfId="0" applyFont="true" applyBorder="true" applyAlignment="true" applyProtection="false">
      <alignment horizontal="center" vertical="center" textRotation="0" wrapText="true" indent="0" shrinkToFit="false"/>
      <protection locked="true" hidden="false"/>
    </xf>
    <xf numFmtId="164" fontId="24" fillId="0" borderId="19" xfId="0" applyFont="true" applyBorder="true" applyAlignment="true" applyProtection="false">
      <alignment horizontal="center" vertical="center" textRotation="0" wrapText="true" indent="0" shrinkToFit="false"/>
      <protection locked="true" hidden="false"/>
    </xf>
    <xf numFmtId="164" fontId="24" fillId="0" borderId="19" xfId="0" applyFont="true" applyBorder="true" applyAlignment="true" applyProtection="false">
      <alignment horizontal="left" vertical="center" textRotation="0" wrapText="true" indent="0" shrinkToFit="false"/>
      <protection locked="true" hidden="false"/>
    </xf>
    <xf numFmtId="164" fontId="24" fillId="0" borderId="13" xfId="0" applyFont="true" applyBorder="true" applyAlignment="true" applyProtection="false">
      <alignment horizontal="center" vertical="center" textRotation="0" wrapText="true" indent="0" shrinkToFit="false"/>
      <protection locked="true" hidden="false"/>
    </xf>
    <xf numFmtId="164" fontId="57" fillId="0" borderId="27" xfId="0" applyFont="true" applyBorder="true" applyAlignment="true" applyProtection="false">
      <alignment horizontal="left" vertical="center" textRotation="0" wrapText="false" indent="1" shrinkToFit="false"/>
      <protection locked="true" hidden="false"/>
    </xf>
    <xf numFmtId="164" fontId="57" fillId="0" borderId="27" xfId="0" applyFont="true" applyBorder="true" applyAlignment="true" applyProtection="false">
      <alignment horizontal="center" vertical="center" textRotation="0" wrapText="false" indent="0" shrinkToFit="false"/>
      <protection locked="true" hidden="false"/>
    </xf>
    <xf numFmtId="176" fontId="24" fillId="0" borderId="12" xfId="0" applyFont="true" applyBorder="true" applyAlignment="true" applyProtection="false">
      <alignment horizontal="center" vertical="center" textRotation="0" wrapText="true" indent="0" shrinkToFit="false"/>
      <protection locked="true" hidden="false"/>
    </xf>
    <xf numFmtId="164" fontId="108" fillId="0" borderId="19" xfId="0" applyFont="true" applyBorder="true" applyAlignment="true" applyProtection="false">
      <alignment horizontal="center" vertical="center" textRotation="0" wrapText="true" indent="0" shrinkToFit="false"/>
      <protection locked="true" hidden="false"/>
    </xf>
    <xf numFmtId="165" fontId="57" fillId="0" borderId="12" xfId="0" applyFont="true" applyBorder="true" applyAlignment="true" applyProtection="false">
      <alignment horizontal="center" vertical="center" textRotation="0" wrapText="false" indent="0" shrinkToFit="false"/>
      <protection locked="true" hidden="false"/>
    </xf>
    <xf numFmtId="164" fontId="24" fillId="0" borderId="12" xfId="0" applyFont="true" applyBorder="true" applyAlignment="true" applyProtection="false">
      <alignment horizontal="left" vertical="center" textRotation="0" wrapText="true" indent="1" shrinkToFit="false"/>
      <protection locked="true" hidden="false"/>
    </xf>
    <xf numFmtId="164" fontId="57" fillId="0" borderId="13" xfId="0" applyFont="true" applyBorder="true" applyAlignment="true" applyProtection="false">
      <alignment horizontal="left" vertical="center" textRotation="0" wrapText="false" indent="1" shrinkToFit="false"/>
      <protection locked="true" hidden="false"/>
    </xf>
    <xf numFmtId="164" fontId="57" fillId="0" borderId="10" xfId="0" applyFont="true" applyBorder="true" applyAlignment="true" applyProtection="false">
      <alignment horizontal="left" vertical="center" textRotation="0" wrapText="false" indent="1" shrinkToFit="false"/>
      <protection locked="true" hidden="false"/>
    </xf>
    <xf numFmtId="164" fontId="57" fillId="0" borderId="10" xfId="0" applyFont="true" applyBorder="true" applyAlignment="true" applyProtection="false">
      <alignment horizontal="general" vertical="top" textRotation="0" wrapText="true" indent="0" shrinkToFit="false"/>
      <protection locked="true" hidden="false"/>
    </xf>
    <xf numFmtId="164" fontId="57" fillId="0" borderId="19" xfId="0" applyFont="true" applyBorder="true" applyAlignment="true" applyProtection="false">
      <alignment horizontal="general" vertical="top" textRotation="0" wrapText="true" indent="0" shrinkToFit="false"/>
      <protection locked="true" hidden="false"/>
    </xf>
    <xf numFmtId="164" fontId="108" fillId="0" borderId="0" xfId="0" applyFont="true" applyBorder="true" applyAlignment="true" applyProtection="false">
      <alignment horizontal="center" vertical="top" textRotation="0" wrapText="true" indent="0" shrinkToFit="false"/>
      <protection locked="true" hidden="false"/>
    </xf>
    <xf numFmtId="165" fontId="57" fillId="0" borderId="12" xfId="0" applyFont="true" applyBorder="true" applyAlignment="true" applyProtection="false">
      <alignment horizontal="left" vertical="center" textRotation="0" wrapText="true" indent="1" shrinkToFit="false"/>
      <protection locked="true" hidden="false"/>
    </xf>
    <xf numFmtId="174" fontId="24" fillId="0" borderId="37" xfId="0" applyFont="true" applyBorder="true" applyAlignment="true" applyProtection="false">
      <alignment horizontal="right" vertical="center" textRotation="0" wrapText="true" indent="0" shrinkToFit="false"/>
      <protection locked="true" hidden="false"/>
    </xf>
    <xf numFmtId="164" fontId="24" fillId="0" borderId="10" xfId="0" applyFont="true" applyBorder="true" applyAlignment="true" applyProtection="false">
      <alignment horizontal="left" vertical="center" textRotation="0" wrapText="false" indent="1" shrinkToFit="false"/>
      <protection locked="true" hidden="false"/>
    </xf>
    <xf numFmtId="164" fontId="57" fillId="0" borderId="53" xfId="0" applyFont="true" applyBorder="true" applyAlignment="true" applyProtection="false">
      <alignment horizontal="general" vertical="top" textRotation="0" wrapText="true" indent="0" shrinkToFit="false"/>
      <protection locked="true" hidden="false"/>
    </xf>
    <xf numFmtId="164" fontId="57" fillId="0" borderId="53" xfId="0" applyFont="true" applyBorder="true" applyAlignment="true" applyProtection="false">
      <alignment horizontal="left" vertical="center" textRotation="0" wrapText="false" indent="1" shrinkToFit="false"/>
      <protection locked="true" hidden="false"/>
    </xf>
    <xf numFmtId="165" fontId="0" fillId="11" borderId="54" xfId="0" applyFont="true" applyBorder="true" applyAlignment="true" applyProtection="false">
      <alignment horizontal="left" vertical="center" textRotation="0" wrapText="false" indent="0" shrinkToFit="false"/>
      <protection locked="true" hidden="false"/>
    </xf>
    <xf numFmtId="164" fontId="55" fillId="11" borderId="55" xfId="0" applyFont="true" applyBorder="true" applyAlignment="true" applyProtection="false">
      <alignment horizontal="left" vertical="center" textRotation="0" wrapText="false" indent="1" shrinkToFit="false"/>
      <protection locked="true" hidden="false"/>
    </xf>
    <xf numFmtId="165" fontId="6" fillId="11" borderId="54" xfId="0" applyFont="true" applyBorder="true" applyAlignment="true" applyProtection="false">
      <alignment horizontal="general" vertical="center" textRotation="0" wrapText="true" indent="0" shrinkToFit="false"/>
      <protection locked="true" hidden="false"/>
    </xf>
    <xf numFmtId="165" fontId="6" fillId="11" borderId="55" xfId="0" applyFont="true" applyBorder="true" applyAlignment="true" applyProtection="false">
      <alignment horizontal="general" vertical="center" textRotation="0" wrapText="true" indent="0" shrinkToFit="false"/>
      <protection locked="true" hidden="false"/>
    </xf>
    <xf numFmtId="164" fontId="0" fillId="7" borderId="30" xfId="0" applyFont="true" applyBorder="true" applyAlignment="true" applyProtection="false">
      <alignment horizontal="general" vertical="top" textRotation="0" wrapText="false" indent="0" shrinkToFit="false"/>
      <protection locked="true" hidden="false"/>
    </xf>
    <xf numFmtId="164" fontId="0" fillId="0" borderId="30" xfId="0" applyFont="true" applyBorder="true" applyAlignment="true" applyProtection="false">
      <alignment horizontal="general" vertical="top" textRotation="0" wrapText="false" indent="0" shrinkToFit="false"/>
      <protection locked="true" hidden="false"/>
    </xf>
    <xf numFmtId="164" fontId="6" fillId="10" borderId="25" xfId="0" applyFont="true" applyBorder="true" applyAlignment="true" applyProtection="false">
      <alignment horizontal="general" vertical="center" textRotation="0" wrapText="true" indent="0" shrinkToFit="false"/>
      <protection locked="true" hidden="false"/>
    </xf>
    <xf numFmtId="164" fontId="0" fillId="8" borderId="30" xfId="0" applyFont="true" applyBorder="true" applyAlignment="true" applyProtection="true">
      <alignment horizontal="general" vertical="top" textRotation="0" wrapText="false" indent="0" shrinkToFit="false"/>
      <protection locked="false" hidden="false"/>
    </xf>
    <xf numFmtId="164" fontId="109" fillId="0" borderId="12" xfId="0" applyFont="true" applyBorder="true" applyAlignment="true" applyProtection="false">
      <alignment horizontal="center" vertical="center" textRotation="0" wrapText="true" indent="0" shrinkToFit="false"/>
      <protection locked="true" hidden="false"/>
    </xf>
    <xf numFmtId="165" fontId="56" fillId="0" borderId="12" xfId="0" applyFont="true" applyBorder="true" applyAlignment="true" applyProtection="false">
      <alignment horizontal="center" vertical="center" textRotation="0" wrapText="false" indent="0" shrinkToFit="false"/>
      <protection locked="true" hidden="false"/>
    </xf>
    <xf numFmtId="164" fontId="110" fillId="11" borderId="13" xfId="0" applyFont="true" applyBorder="true" applyAlignment="true" applyProtection="false">
      <alignment horizontal="left" vertical="center" textRotation="0" wrapText="false" indent="1" shrinkToFit="false"/>
      <protection locked="true" hidden="false"/>
    </xf>
    <xf numFmtId="164" fontId="110" fillId="11" borderId="10" xfId="0" applyFont="true" applyBorder="true" applyAlignment="true" applyProtection="false">
      <alignment horizontal="left" vertical="center" textRotation="0" wrapText="false" indent="1" shrinkToFit="false"/>
      <protection locked="true" hidden="false"/>
    </xf>
    <xf numFmtId="164" fontId="56" fillId="11" borderId="10" xfId="0" applyFont="true" applyBorder="true" applyAlignment="true" applyProtection="false">
      <alignment horizontal="general" vertical="top" textRotation="0" wrapText="true" indent="0" shrinkToFit="false"/>
      <protection locked="true" hidden="false"/>
    </xf>
    <xf numFmtId="164" fontId="0" fillId="8" borderId="25" xfId="0" applyFont="true" applyBorder="true" applyAlignment="true" applyProtection="true">
      <alignment horizontal="general" vertical="top" textRotation="0" wrapText="false" indent="0" shrinkToFit="false"/>
      <protection locked="false" hidden="false"/>
    </xf>
    <xf numFmtId="172" fontId="6" fillId="10" borderId="30" xfId="0" applyFont="true" applyBorder="true" applyAlignment="true" applyProtection="false">
      <alignment horizontal="left" vertical="center" textRotation="0" wrapText="true" indent="1" shrinkToFit="false"/>
      <protection locked="true" hidden="false"/>
    </xf>
    <xf numFmtId="172" fontId="6" fillId="10" borderId="16" xfId="0" applyFont="true" applyBorder="true" applyAlignment="true" applyProtection="false">
      <alignment horizontal="left" vertical="center" textRotation="0" wrapText="true" indent="1" shrinkToFit="false"/>
      <protection locked="true" hidden="false"/>
    </xf>
    <xf numFmtId="164" fontId="6" fillId="10" borderId="30" xfId="0" applyFont="true" applyBorder="true" applyAlignment="true" applyProtection="false">
      <alignment horizontal="general" vertical="center" textRotation="0" wrapText="true" indent="0" shrinkToFit="false"/>
      <protection locked="true" hidden="false"/>
    </xf>
    <xf numFmtId="164" fontId="109" fillId="0" borderId="0" xfId="0" applyFont="true" applyBorder="true" applyAlignment="true" applyProtection="false">
      <alignment horizontal="center" vertical="top" textRotation="0" wrapText="true" indent="0" shrinkToFit="false"/>
      <protection locked="true" hidden="false"/>
    </xf>
    <xf numFmtId="165" fontId="56" fillId="10" borderId="12" xfId="0" applyFont="true" applyBorder="true" applyAlignment="true" applyProtection="false">
      <alignment horizontal="left" vertical="center" textRotation="0" wrapText="true" indent="1" shrinkToFit="false"/>
      <protection locked="true" hidden="false"/>
    </xf>
    <xf numFmtId="164" fontId="6" fillId="10" borderId="18" xfId="0" applyFont="true" applyBorder="true" applyAlignment="true" applyProtection="false">
      <alignment horizontal="general" vertical="center" textRotation="0" wrapText="true" indent="0" shrinkToFit="false"/>
      <protection locked="true" hidden="false"/>
    </xf>
    <xf numFmtId="164" fontId="0" fillId="8" borderId="18" xfId="0" applyFont="true" applyBorder="true" applyAlignment="true" applyProtection="true">
      <alignment horizontal="general" vertical="top" textRotation="0" wrapText="false" indent="0" shrinkToFit="false"/>
      <protection locked="false" hidden="false"/>
    </xf>
    <xf numFmtId="164" fontId="109" fillId="0" borderId="30" xfId="0" applyFont="true" applyBorder="true" applyAlignment="true" applyProtection="false">
      <alignment horizontal="center" vertical="top" textRotation="0" wrapText="true" indent="0" shrinkToFit="false"/>
      <protection locked="true" hidden="false"/>
    </xf>
    <xf numFmtId="165" fontId="56" fillId="0" borderId="19" xfId="0" applyFont="true" applyBorder="true" applyAlignment="true" applyProtection="false">
      <alignment horizontal="center" vertical="center" textRotation="0" wrapText="false" indent="0" shrinkToFit="false"/>
      <protection locked="true" hidden="false"/>
    </xf>
    <xf numFmtId="164" fontId="6" fillId="10" borderId="19" xfId="0" applyFont="true" applyBorder="true" applyAlignment="true" applyProtection="false">
      <alignment horizontal="left" vertical="center" textRotation="0" wrapText="true" indent="0" shrinkToFit="false"/>
      <protection locked="true" hidden="false"/>
    </xf>
    <xf numFmtId="164" fontId="110" fillId="11" borderId="26" xfId="0" applyFont="true" applyBorder="true" applyAlignment="true" applyProtection="false">
      <alignment horizontal="left" vertical="center" textRotation="0" wrapText="false" indent="1" shrinkToFit="false"/>
      <protection locked="true" hidden="false"/>
    </xf>
    <xf numFmtId="164" fontId="57" fillId="11" borderId="27" xfId="0" applyFont="true" applyBorder="true" applyAlignment="true" applyProtection="false">
      <alignment horizontal="center" vertical="center" textRotation="0" wrapText="false" indent="0" shrinkToFit="false"/>
      <protection locked="true" hidden="false"/>
    </xf>
    <xf numFmtId="164" fontId="110" fillId="11" borderId="27" xfId="0" applyFont="true" applyBorder="true" applyAlignment="true" applyProtection="false">
      <alignment horizontal="left" vertical="center" textRotation="0" wrapText="false" indent="1" shrinkToFit="false"/>
      <protection locked="true" hidden="false"/>
    </xf>
    <xf numFmtId="176" fontId="6" fillId="8" borderId="12" xfId="0" applyFont="true" applyBorder="true" applyAlignment="true" applyProtection="true">
      <alignment horizontal="center" vertical="center" textRotation="0" wrapText="true" indent="0" shrinkToFit="false"/>
      <protection locked="false" hidden="false"/>
    </xf>
    <xf numFmtId="164" fontId="6" fillId="10" borderId="13" xfId="0" applyFont="true" applyBorder="true" applyAlignment="true" applyProtection="false">
      <alignment horizontal="center" vertical="center" textRotation="0" wrapText="true" indent="0" shrinkToFit="false"/>
      <protection locked="true" hidden="false"/>
    </xf>
    <xf numFmtId="164" fontId="56" fillId="11" borderId="19" xfId="0" applyFont="true" applyBorder="true" applyAlignment="true" applyProtection="false">
      <alignment horizontal="general" vertical="top" textRotation="0" wrapText="true" indent="0" shrinkToFit="false"/>
      <protection locked="true" hidden="false"/>
    </xf>
    <xf numFmtId="164" fontId="56" fillId="11" borderId="53" xfId="0" applyFont="true" applyBorder="true" applyAlignment="true" applyProtection="false">
      <alignment horizontal="general" vertical="top" textRotation="0" wrapText="true" indent="0" shrinkToFit="false"/>
      <protection locked="true" hidden="false"/>
    </xf>
    <xf numFmtId="164" fontId="110" fillId="11" borderId="53" xfId="0" applyFont="true" applyBorder="true" applyAlignment="true" applyProtection="false">
      <alignment horizontal="left" vertical="center" textRotation="0" wrapText="false" indent="1" shrinkToFit="false"/>
      <protection locked="true" hidden="false"/>
    </xf>
    <xf numFmtId="171" fontId="107" fillId="0" borderId="56" xfId="0" applyFont="true" applyBorder="true" applyAlignment="true" applyProtection="false">
      <alignment horizontal="left" vertical="center" textRotation="0" wrapText="false" indent="1" shrinkToFit="false"/>
      <protection locked="true" hidden="false"/>
    </xf>
    <xf numFmtId="164" fontId="6" fillId="0" borderId="57" xfId="0" applyFont="true" applyBorder="true" applyAlignment="true" applyProtection="false">
      <alignment horizontal="center" vertical="center" textRotation="0" wrapText="false" indent="0" shrinkToFit="false"/>
      <protection locked="true" hidden="false"/>
    </xf>
    <xf numFmtId="165" fontId="6" fillId="0" borderId="57" xfId="0" applyFont="true" applyBorder="true" applyAlignment="true" applyProtection="false">
      <alignment horizontal="right" vertical="center" textRotation="0" wrapText="false" indent="0" shrinkToFit="false"/>
      <protection locked="true" hidden="false"/>
    </xf>
    <xf numFmtId="165" fontId="6" fillId="0" borderId="57" xfId="0" applyFont="true" applyBorder="true" applyAlignment="true" applyProtection="false">
      <alignment horizontal="center" vertical="center" textRotation="0" wrapText="false" indent="0" shrinkToFit="false"/>
      <protection locked="true" hidden="false"/>
    </xf>
    <xf numFmtId="165" fontId="6" fillId="0" borderId="10" xfId="0" applyFont="true" applyBorder="true" applyAlignment="true" applyProtection="false">
      <alignment horizontal="right" vertical="center" textRotation="0" wrapText="false" indent="0" shrinkToFit="false"/>
      <protection locked="true" hidden="false"/>
    </xf>
    <xf numFmtId="165" fontId="6" fillId="0" borderId="19" xfId="0" applyFont="true" applyBorder="true" applyAlignment="true" applyProtection="false">
      <alignment horizontal="right" vertical="center" textRotation="0" wrapText="false" indent="0" shrinkToFit="false"/>
      <protection locked="true" hidden="false"/>
    </xf>
    <xf numFmtId="164" fontId="6" fillId="5" borderId="12" xfId="0" applyFont="true" applyBorder="true" applyAlignment="true" applyProtection="true">
      <alignment horizontal="left" vertical="center" textRotation="0" wrapText="false" indent="1" shrinkToFit="false"/>
      <protection locked="false" hidden="false"/>
    </xf>
    <xf numFmtId="165" fontId="6" fillId="20" borderId="12" xfId="0" applyFont="true" applyBorder="true" applyAlignment="true" applyProtection="false">
      <alignment horizontal="right" vertical="center" textRotation="0" wrapText="false" indent="0" shrinkToFit="false"/>
      <protection locked="true" hidden="false"/>
    </xf>
    <xf numFmtId="174" fontId="6" fillId="5" borderId="12" xfId="0" applyFont="true" applyBorder="true" applyAlignment="true" applyProtection="true">
      <alignment horizontal="right" vertical="center" textRotation="0" wrapText="false" indent="0" shrinkToFit="false"/>
      <protection locked="false" hidden="false"/>
    </xf>
    <xf numFmtId="164" fontId="55" fillId="11" borderId="58" xfId="0" applyFont="true" applyBorder="true" applyAlignment="true" applyProtection="false">
      <alignment horizontal="left" vertical="center" textRotation="0" wrapText="false" indent="1" shrinkToFit="false"/>
      <protection locked="true" hidden="false"/>
    </xf>
    <xf numFmtId="164" fontId="55" fillId="23" borderId="19" xfId="0" applyFont="true" applyBorder="true" applyAlignment="true" applyProtection="false">
      <alignment horizontal="left" vertical="center" textRotation="0" wrapText="false" indent="1" shrinkToFit="false"/>
      <protection locked="true" hidden="false"/>
    </xf>
    <xf numFmtId="165" fontId="55" fillId="0" borderId="12" xfId="0" applyFont="true" applyBorder="true" applyAlignment="true" applyProtection="false">
      <alignment horizontal="left" vertical="center" textRotation="0" wrapText="false" indent="1" shrinkToFit="false"/>
      <protection locked="true" hidden="false"/>
    </xf>
    <xf numFmtId="165" fontId="26" fillId="0" borderId="18" xfId="0" applyFont="true" applyBorder="true" applyAlignment="true" applyProtection="false">
      <alignment horizontal="general" vertical="center" textRotation="0" wrapText="true" indent="0" shrinkToFit="false"/>
      <protection locked="true" hidden="false"/>
    </xf>
    <xf numFmtId="178" fontId="26" fillId="0" borderId="18" xfId="0" applyFont="true" applyBorder="true" applyAlignment="true" applyProtection="false">
      <alignment horizontal="center" vertical="center" textRotation="0" wrapText="true" indent="0" shrinkToFit="false"/>
      <protection locked="true" hidden="false"/>
    </xf>
    <xf numFmtId="165" fontId="26" fillId="0" borderId="0"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left" vertical="center" textRotation="0" wrapText="false" indent="0" shrinkToFit="false"/>
      <protection locked="true" hidden="false"/>
    </xf>
    <xf numFmtId="164" fontId="26" fillId="0" borderId="10" xfId="0" applyFont="true" applyBorder="true" applyAlignment="true" applyProtection="false">
      <alignment horizontal="left" vertical="center" textRotation="0" wrapText="false" indent="1" shrinkToFit="false"/>
      <protection locked="true" hidden="false"/>
    </xf>
    <xf numFmtId="164" fontId="26" fillId="0" borderId="10" xfId="0" applyFont="true" applyBorder="true" applyAlignment="true" applyProtection="false">
      <alignment horizontal="left" vertical="center" textRotation="0" wrapText="false" indent="0" shrinkToFit="false"/>
      <protection locked="true" hidden="false"/>
    </xf>
    <xf numFmtId="164" fontId="26" fillId="0" borderId="19" xfId="0" applyFont="true" applyBorder="true" applyAlignment="true" applyProtection="false">
      <alignment horizontal="left" vertical="center" textRotation="0" wrapText="false" indent="1" shrinkToFit="false"/>
      <protection locked="true" hidden="false"/>
    </xf>
    <xf numFmtId="165" fontId="26" fillId="0" borderId="12" xfId="0" applyFont="true" applyBorder="true" applyAlignment="true" applyProtection="false">
      <alignment horizontal="left" vertical="center" textRotation="0" wrapText="false" indent="1" shrinkToFit="false"/>
      <protection locked="true" hidden="false"/>
    </xf>
    <xf numFmtId="164" fontId="0" fillId="0" borderId="14" xfId="0" applyFont="true" applyBorder="true" applyAlignment="true" applyProtection="false">
      <alignment horizontal="general" vertical="top" textRotation="0" wrapText="false" indent="0" shrinkToFit="false"/>
      <protection locked="true" hidden="false"/>
    </xf>
    <xf numFmtId="164" fontId="46" fillId="0" borderId="12" xfId="0" applyFont="true" applyBorder="true" applyAlignment="true" applyProtection="false">
      <alignment horizontal="center" vertical="top" textRotation="0" wrapText="true" indent="0" shrinkToFit="false"/>
      <protection locked="true" hidden="false"/>
    </xf>
    <xf numFmtId="164" fontId="6" fillId="8" borderId="13" xfId="0" applyFont="true" applyBorder="true" applyAlignment="true" applyProtection="true">
      <alignment horizontal="left" vertical="center" textRotation="0" wrapText="true" indent="1" shrinkToFit="false"/>
      <protection locked="false" hidden="false"/>
    </xf>
    <xf numFmtId="164" fontId="0" fillId="0" borderId="19" xfId="0" applyFont="true" applyBorder="true" applyAlignment="true" applyProtection="false">
      <alignment horizontal="center" vertical="center" textRotation="0" wrapText="true" indent="0" shrinkToFit="false"/>
      <protection locked="true" hidden="false"/>
    </xf>
    <xf numFmtId="164" fontId="0" fillId="8" borderId="13" xfId="0" applyFont="true" applyBorder="true" applyAlignment="true" applyProtection="true">
      <alignment horizontal="left" vertical="center" textRotation="0" wrapText="true" indent="0" shrinkToFit="false"/>
      <protection locked="false" hidden="false"/>
    </xf>
    <xf numFmtId="164" fontId="0" fillId="0" borderId="29" xfId="0" applyFont="true" applyBorder="true" applyAlignment="true" applyProtection="false">
      <alignment horizontal="center" vertical="center" textRotation="0" wrapText="true" indent="0" shrinkToFit="false"/>
      <protection locked="true" hidden="false"/>
    </xf>
    <xf numFmtId="164" fontId="0" fillId="11" borderId="28" xfId="0" applyFont="true" applyBorder="true" applyAlignment="true" applyProtection="false">
      <alignment horizontal="center" vertical="center" textRotation="0" wrapText="false" indent="0" shrinkToFit="false"/>
      <protection locked="true" hidden="false"/>
    </xf>
    <xf numFmtId="164" fontId="0" fillId="11" borderId="10" xfId="0" applyFont="true" applyBorder="true" applyAlignment="true" applyProtection="false">
      <alignment horizontal="center" vertical="center" textRotation="0" wrapText="false" indent="0" shrinkToFit="false"/>
      <protection locked="true" hidden="false"/>
    </xf>
    <xf numFmtId="164" fontId="0" fillId="0" borderId="16" xfId="0" applyFont="true" applyBorder="true" applyAlignment="true" applyProtection="false">
      <alignment horizontal="general" vertical="top" textRotation="0" wrapText="false" indent="0" shrinkToFit="false"/>
      <protection locked="true" hidden="false"/>
    </xf>
    <xf numFmtId="164" fontId="0" fillId="0" borderId="17" xfId="0" applyFont="true" applyBorder="true" applyAlignment="true" applyProtection="false">
      <alignment horizontal="general" vertical="top" textRotation="0" wrapText="false" indent="0" shrinkToFit="false"/>
      <protection locked="true" hidden="false"/>
    </xf>
    <xf numFmtId="164" fontId="0" fillId="0" borderId="0" xfId="0" applyFont="true" applyBorder="true" applyAlignment="true" applyProtection="false">
      <alignment horizontal="left" vertical="top" textRotation="0" wrapText="false" indent="0" shrinkToFit="false"/>
      <protection locked="true" hidden="false"/>
    </xf>
    <xf numFmtId="165" fontId="6" fillId="10" borderId="12" xfId="0" applyFont="true" applyBorder="true" applyAlignment="true" applyProtection="false">
      <alignment horizontal="left" vertical="top" textRotation="0" wrapText="true" indent="0" shrinkToFit="false"/>
      <protection locked="true" hidden="false"/>
    </xf>
    <xf numFmtId="171" fontId="0" fillId="10" borderId="12" xfId="0" applyFont="true" applyBorder="true" applyAlignment="true" applyProtection="false">
      <alignment horizontal="left" vertical="center" textRotation="0" wrapText="true" indent="0" shrinkToFit="false"/>
      <protection locked="true" hidden="false"/>
    </xf>
    <xf numFmtId="165" fontId="55" fillId="11" borderId="13" xfId="0" applyFont="true" applyBorder="true" applyAlignment="true" applyProtection="false">
      <alignment horizontal="left" vertical="center" textRotation="0" wrapText="false" indent="0" shrinkToFit="false"/>
      <protection locked="true" hidden="false"/>
    </xf>
    <xf numFmtId="165" fontId="55" fillId="11" borderId="10" xfId="0" applyFont="true" applyBorder="true" applyAlignment="true" applyProtection="false">
      <alignment horizontal="left" vertical="center" textRotation="0" wrapText="false" indent="0" shrinkToFit="false"/>
      <protection locked="true" hidden="false"/>
    </xf>
    <xf numFmtId="165" fontId="55" fillId="11" borderId="19" xfId="0" applyFont="true" applyBorder="true" applyAlignment="true" applyProtection="false">
      <alignment horizontal="left" vertical="center" textRotation="0" wrapText="false" indent="0" shrinkToFit="false"/>
      <protection locked="true" hidden="false"/>
    </xf>
    <xf numFmtId="165" fontId="0" fillId="11" borderId="10" xfId="0" applyFont="true" applyBorder="true" applyAlignment="true" applyProtection="false">
      <alignment horizontal="general" vertical="center" textRotation="0" wrapText="false" indent="0" shrinkToFit="false"/>
      <protection locked="true" hidden="false"/>
    </xf>
    <xf numFmtId="164" fontId="0" fillId="0" borderId="30" xfId="0" applyFont="true" applyBorder="true" applyAlignment="true" applyProtection="false">
      <alignment horizontal="left" vertical="top" textRotation="0" wrapText="false" indent="0" shrinkToFit="false"/>
      <protection locked="true" hidden="false"/>
    </xf>
    <xf numFmtId="165" fontId="6" fillId="10" borderId="30" xfId="0" applyFont="true" applyBorder="true" applyAlignment="true" applyProtection="false">
      <alignment horizontal="center" vertical="top" textRotation="0" wrapText="true" indent="0" shrinkToFit="false"/>
      <protection locked="true" hidden="false"/>
    </xf>
    <xf numFmtId="164" fontId="0" fillId="10" borderId="30" xfId="0" applyFont="true" applyBorder="true" applyAlignment="true" applyProtection="false">
      <alignment horizontal="left" vertical="top" textRotation="0" wrapText="false" indent="0" shrinkToFit="false"/>
      <protection locked="true" hidden="false"/>
    </xf>
    <xf numFmtId="164" fontId="0" fillId="5" borderId="30" xfId="0" applyFont="true" applyBorder="true" applyAlignment="true" applyProtection="true">
      <alignment horizontal="left" vertical="top" textRotation="0" wrapText="false" indent="0" shrinkToFit="false"/>
      <protection locked="false" hidden="false"/>
    </xf>
    <xf numFmtId="164" fontId="6" fillId="10" borderId="0" xfId="0" applyFont="true" applyBorder="true" applyAlignment="true" applyProtection="false">
      <alignment horizontal="center" vertical="center" textRotation="0" wrapText="true" indent="0" shrinkToFit="false"/>
      <protection locked="true" hidden="false"/>
    </xf>
    <xf numFmtId="165" fontId="55" fillId="0" borderId="30" xfId="0" applyFont="true" applyBorder="true" applyAlignment="true" applyProtection="false">
      <alignment horizontal="left" vertical="center" textRotation="0" wrapText="false" indent="0" shrinkToFit="false"/>
      <protection locked="true" hidden="false"/>
    </xf>
    <xf numFmtId="164" fontId="0" fillId="10" borderId="30" xfId="0" applyFont="true" applyBorder="true" applyAlignment="true" applyProtection="false">
      <alignment horizontal="left" vertical="center" textRotation="0" wrapText="true" indent="0" shrinkToFit="false"/>
      <protection locked="true" hidden="false"/>
    </xf>
    <xf numFmtId="164" fontId="6" fillId="10" borderId="30" xfId="0" applyFont="true" applyBorder="true" applyAlignment="true" applyProtection="false">
      <alignment horizontal="center" vertical="center" textRotation="0" wrapText="true" indent="0" shrinkToFit="false"/>
      <protection locked="true" hidden="false"/>
    </xf>
    <xf numFmtId="165" fontId="55" fillId="5" borderId="30" xfId="0" applyFont="true" applyBorder="true" applyAlignment="true" applyProtection="true">
      <alignment horizontal="left" vertical="center" textRotation="0" wrapText="false" indent="0" shrinkToFit="false"/>
      <protection locked="false" hidden="false"/>
    </xf>
    <xf numFmtId="165" fontId="55" fillId="8" borderId="30" xfId="0" applyFont="true" applyBorder="true" applyAlignment="true" applyProtection="true">
      <alignment horizontal="left" vertical="center" textRotation="0" wrapText="false" indent="0" shrinkToFit="false"/>
      <protection locked="false" hidden="false"/>
    </xf>
    <xf numFmtId="164" fontId="26" fillId="0" borderId="13" xfId="0" applyFont="true" applyBorder="true" applyAlignment="true" applyProtection="false">
      <alignment horizontal="left" vertical="center" textRotation="0" wrapText="true" indent="0" shrinkToFit="false"/>
      <protection locked="true" hidden="false"/>
    </xf>
    <xf numFmtId="165" fontId="26" fillId="0" borderId="13" xfId="0" applyFont="true" applyBorder="true" applyAlignment="true" applyProtection="false">
      <alignment horizontal="left" vertical="center" textRotation="0" wrapText="false" indent="0" shrinkToFit="false"/>
      <protection locked="true" hidden="false"/>
    </xf>
    <xf numFmtId="165" fontId="26" fillId="0" borderId="10" xfId="0" applyFont="true" applyBorder="true" applyAlignment="true" applyProtection="false">
      <alignment horizontal="left" vertical="center" textRotation="0" wrapText="false" indent="0" shrinkToFit="false"/>
      <protection locked="true" hidden="false"/>
    </xf>
    <xf numFmtId="165" fontId="55" fillId="11" borderId="29" xfId="0" applyFont="true" applyBorder="true" applyAlignment="true" applyProtection="false">
      <alignment horizontal="left" vertical="center" textRotation="0" wrapText="false" indent="0" shrinkToFit="false"/>
      <protection locked="true" hidden="false"/>
    </xf>
    <xf numFmtId="164" fontId="0" fillId="5" borderId="30" xfId="0" applyFont="true" applyBorder="true" applyAlignment="true" applyProtection="true">
      <alignment horizontal="general" vertical="top" textRotation="0" wrapText="false" indent="0" shrinkToFit="false"/>
      <protection locked="false" hidden="false"/>
    </xf>
    <xf numFmtId="164" fontId="6" fillId="0" borderId="30" xfId="0" applyFont="true" applyBorder="true" applyAlignment="true" applyProtection="false">
      <alignment horizontal="center" vertical="center" textRotation="0" wrapText="false" indent="0" shrinkToFit="false"/>
      <protection locked="true" hidden="false"/>
    </xf>
    <xf numFmtId="164" fontId="6" fillId="0" borderId="30" xfId="0" applyFont="true" applyBorder="true" applyAlignment="true" applyProtection="false">
      <alignment horizontal="general" vertical="center" textRotation="0" wrapText="true" indent="0" shrinkToFit="false"/>
      <protection locked="true" hidden="false"/>
    </xf>
    <xf numFmtId="165" fontId="6" fillId="0" borderId="17" xfId="0" applyFont="true" applyBorder="true" applyAlignment="true" applyProtection="false">
      <alignment horizontal="center" vertical="center" textRotation="0" wrapText="false" indent="0" shrinkToFit="false"/>
      <protection locked="true" hidden="false"/>
    </xf>
    <xf numFmtId="164" fontId="6" fillId="5" borderId="25" xfId="0" applyFont="true" applyBorder="true" applyAlignment="true" applyProtection="true">
      <alignment horizontal="left" vertical="center" textRotation="0" wrapText="true" indent="0" shrinkToFit="false"/>
      <protection locked="false" hidden="false"/>
    </xf>
    <xf numFmtId="164" fontId="6" fillId="10" borderId="25" xfId="0" applyFont="true" applyBorder="true" applyAlignment="true" applyProtection="false">
      <alignment horizontal="center"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0" shrinkToFit="false"/>
      <protection locked="false" hidden="false"/>
    </xf>
    <xf numFmtId="164" fontId="46" fillId="0" borderId="30" xfId="0" applyFont="true" applyBorder="true" applyAlignment="true" applyProtection="false">
      <alignment horizontal="general" vertical="center" textRotation="0" wrapText="true" indent="0" shrinkToFit="false"/>
      <protection locked="true" hidden="false"/>
    </xf>
    <xf numFmtId="171" fontId="6" fillId="10" borderId="25" xfId="0" applyFont="true" applyBorder="true" applyAlignment="true" applyProtection="false">
      <alignment horizontal="left" vertical="center" textRotation="0" wrapText="true" indent="0" shrinkToFit="false"/>
      <protection locked="true" hidden="false"/>
    </xf>
    <xf numFmtId="165" fontId="6" fillId="0" borderId="30" xfId="0" applyFont="true" applyBorder="true" applyAlignment="true" applyProtection="false">
      <alignment horizontal="left" vertical="center" textRotation="0" wrapText="true" indent="0" shrinkToFit="false"/>
      <protection locked="true" hidden="false"/>
    </xf>
    <xf numFmtId="164" fontId="6" fillId="0" borderId="30" xfId="0" applyFont="true" applyBorder="true" applyAlignment="true" applyProtection="false">
      <alignment horizontal="left" vertical="center" textRotation="0" wrapText="true" indent="0" shrinkToFit="false"/>
      <protection locked="true" hidden="false"/>
    </xf>
    <xf numFmtId="164" fontId="6" fillId="0" borderId="30" xfId="0" applyFont="true" applyBorder="true" applyAlignment="true" applyProtection="false">
      <alignment horizontal="center" vertical="center" textRotation="0" wrapText="true" indent="0" shrinkToFit="false"/>
      <protection locked="true" hidden="false"/>
    </xf>
    <xf numFmtId="165" fontId="55" fillId="0" borderId="18" xfId="0" applyFont="true" applyBorder="true" applyAlignment="true" applyProtection="false">
      <alignment horizontal="left" vertical="center" textRotation="0" wrapText="false" indent="0" shrinkToFit="false"/>
      <protection locked="true" hidden="false"/>
    </xf>
    <xf numFmtId="165" fontId="55" fillId="11" borderId="22" xfId="0" applyFont="true" applyBorder="true" applyAlignment="true" applyProtection="false">
      <alignment horizontal="left" vertical="center" textRotation="0" wrapText="false" indent="0" shrinkToFit="false"/>
      <protection locked="true" hidden="false"/>
    </xf>
    <xf numFmtId="165" fontId="55" fillId="11" borderId="15" xfId="0" applyFont="true" applyBorder="true" applyAlignment="true" applyProtection="false">
      <alignment horizontal="left" vertical="center" textRotation="0" wrapText="false" indent="0" shrinkToFit="false"/>
      <protection locked="true" hidden="false"/>
    </xf>
    <xf numFmtId="164" fontId="46" fillId="0" borderId="30" xfId="0" applyFont="true" applyBorder="true" applyAlignment="true" applyProtection="false">
      <alignment horizontal="center" vertical="center" textRotation="0" wrapText="true" indent="0" shrinkToFit="false"/>
      <protection locked="true" hidden="false"/>
    </xf>
    <xf numFmtId="165" fontId="55" fillId="11" borderId="22" xfId="0" applyFont="true" applyBorder="true" applyAlignment="true" applyProtection="false">
      <alignment horizontal="general" vertical="center" textRotation="0" wrapText="false" indent="0" shrinkToFit="false"/>
      <protection locked="true" hidden="false"/>
    </xf>
    <xf numFmtId="164" fontId="68" fillId="11" borderId="13" xfId="0" applyFont="true" applyBorder="true" applyAlignment="true" applyProtection="false">
      <alignment horizontal="general" vertical="top" textRotation="0" wrapText="false" indent="0" shrinkToFit="false"/>
      <protection locked="true" hidden="false"/>
    </xf>
    <xf numFmtId="164" fontId="68" fillId="11" borderId="10" xfId="0" applyFont="true" applyBorder="true" applyAlignment="true" applyProtection="false">
      <alignment horizontal="general" vertical="top" textRotation="0" wrapText="false" indent="0" shrinkToFit="false"/>
      <protection locked="true" hidden="false"/>
    </xf>
    <xf numFmtId="164" fontId="111" fillId="0" borderId="0" xfId="0" applyFont="true" applyBorder="true" applyAlignment="true" applyProtection="false">
      <alignment horizontal="general" vertical="top" textRotation="0" wrapText="true" indent="0" shrinkToFit="false"/>
      <protection locked="true" hidden="false"/>
    </xf>
    <xf numFmtId="164" fontId="111" fillId="0" borderId="0" xfId="0" applyFont="true" applyBorder="true" applyAlignment="true" applyProtection="false">
      <alignment horizontal="general" vertical="top" textRotation="0" wrapText="false" indent="0" shrinkToFit="false"/>
      <protection locked="true" hidden="false"/>
    </xf>
    <xf numFmtId="164" fontId="111" fillId="0" borderId="12" xfId="0" applyFont="true" applyBorder="true" applyAlignment="true" applyProtection="false">
      <alignment horizontal="general" vertical="top" textRotation="0" wrapText="true" indent="0" shrinkToFit="false"/>
      <protection locked="true" hidden="false"/>
    </xf>
    <xf numFmtId="164" fontId="21" fillId="0" borderId="12" xfId="0" applyFont="true" applyBorder="true" applyAlignment="true" applyProtection="false">
      <alignment horizontal="center" vertical="top" textRotation="0" wrapText="true" indent="0" shrinkToFit="false"/>
      <protection locked="true" hidden="false"/>
    </xf>
    <xf numFmtId="164" fontId="21" fillId="20" borderId="12" xfId="0" applyFont="true" applyBorder="true" applyAlignment="true" applyProtection="false">
      <alignment horizontal="center" vertical="top" textRotation="0" wrapText="false" indent="0" shrinkToFit="false"/>
      <protection locked="true" hidden="false"/>
    </xf>
    <xf numFmtId="164" fontId="21" fillId="0" borderId="12" xfId="0" applyFont="true" applyBorder="true" applyAlignment="true" applyProtection="false">
      <alignment horizontal="general" vertical="top" textRotation="0" wrapText="true" indent="0" shrinkToFit="false"/>
      <protection locked="true" hidden="false"/>
    </xf>
    <xf numFmtId="171" fontId="21" fillId="0" borderId="12" xfId="0" applyFont="true" applyBorder="true" applyAlignment="true" applyProtection="false">
      <alignment horizontal="general" vertical="top" textRotation="0" wrapText="true" indent="0" shrinkToFit="false"/>
      <protection locked="true" hidden="false"/>
    </xf>
    <xf numFmtId="164" fontId="21" fillId="0" borderId="12" xfId="0" applyFont="true" applyBorder="true" applyAlignment="true" applyProtection="false">
      <alignment horizontal="general" vertical="top" textRotation="0" wrapText="false" indent="0" shrinkToFit="false"/>
      <protection locked="true" hidden="false"/>
    </xf>
    <xf numFmtId="164" fontId="111" fillId="0" borderId="12" xfId="0" applyFont="true" applyBorder="true" applyAlignment="true" applyProtection="false">
      <alignment horizontal="general" vertical="top" textRotation="0" wrapText="false" indent="0" shrinkToFit="false"/>
      <protection locked="true" hidden="false"/>
    </xf>
    <xf numFmtId="171" fontId="111" fillId="0" borderId="12" xfId="0" applyFont="true" applyBorder="true" applyAlignment="true" applyProtection="false">
      <alignment horizontal="general" vertical="top" textRotation="0" wrapText="true" indent="0" shrinkToFit="false"/>
      <protection locked="true" hidden="false"/>
    </xf>
    <xf numFmtId="165" fontId="112" fillId="0" borderId="12" xfId="0" applyFont="true" applyBorder="true" applyAlignment="true" applyProtection="false">
      <alignment horizontal="general" vertical="top" textRotation="0" wrapText="true" indent="0" shrinkToFit="false"/>
      <protection locked="true" hidden="false"/>
    </xf>
    <xf numFmtId="164" fontId="111" fillId="0" borderId="0" xfId="0" applyFont="true" applyBorder="true" applyAlignment="true" applyProtection="false">
      <alignment horizontal="left" vertical="top" textRotation="0" wrapText="true" indent="0" shrinkToFit="false"/>
      <protection locked="true" hidden="false"/>
    </xf>
    <xf numFmtId="164" fontId="111" fillId="20" borderId="0" xfId="0" applyFont="true" applyBorder="true" applyAlignment="true" applyProtection="false">
      <alignment horizontal="left" vertical="top" textRotation="0" wrapText="true" indent="0" shrinkToFit="false"/>
      <protection locked="true" hidden="false"/>
    </xf>
    <xf numFmtId="165" fontId="111" fillId="0" borderId="0" xfId="0" applyFont="true" applyBorder="true" applyAlignment="true" applyProtection="false">
      <alignment horizontal="general" vertical="top" textRotation="0" wrapText="true" indent="0" shrinkToFit="false"/>
      <protection locked="true" hidden="false"/>
    </xf>
    <xf numFmtId="164" fontId="111" fillId="0" borderId="12" xfId="0" applyFont="true" applyBorder="true" applyAlignment="true" applyProtection="false">
      <alignment horizontal="center" vertical="top" textRotation="0" wrapText="true" indent="0" shrinkToFit="false"/>
      <protection locked="true" hidden="false"/>
    </xf>
    <xf numFmtId="164" fontId="111" fillId="20" borderId="12" xfId="0" applyFont="true" applyBorder="true" applyAlignment="true" applyProtection="false">
      <alignment horizontal="center" vertical="top" textRotation="0" wrapText="true" indent="0" shrinkToFit="false"/>
      <protection locked="true" hidden="false"/>
    </xf>
    <xf numFmtId="164" fontId="111" fillId="0" borderId="0" xfId="0" applyFont="true" applyBorder="true" applyAlignment="true" applyProtection="false">
      <alignment horizontal="center" vertical="top" textRotation="0" wrapText="true" indent="0" shrinkToFit="false"/>
      <protection locked="true" hidden="false"/>
    </xf>
    <xf numFmtId="164" fontId="21" fillId="20" borderId="12" xfId="0" applyFont="true" applyBorder="true" applyAlignment="true" applyProtection="false">
      <alignment horizontal="center" vertical="top" textRotation="0" wrapText="true" indent="0" shrinkToFit="false"/>
      <protection locked="true" hidden="false"/>
    </xf>
    <xf numFmtId="164" fontId="111" fillId="0" borderId="12" xfId="0" applyFont="true" applyBorder="true" applyAlignment="true" applyProtection="false">
      <alignment horizontal="left" vertical="top" textRotation="0" wrapText="true" indent="0" shrinkToFit="false"/>
      <protection locked="true" hidden="false"/>
    </xf>
    <xf numFmtId="165" fontId="21" fillId="20" borderId="12" xfId="0" applyFont="true" applyBorder="true" applyAlignment="true" applyProtection="false">
      <alignment horizontal="center" vertical="top" textRotation="0" wrapText="true" indent="0" shrinkToFit="false"/>
      <protection locked="true" hidden="false"/>
    </xf>
    <xf numFmtId="165" fontId="111" fillId="20" borderId="12" xfId="0" applyFont="true" applyBorder="true" applyAlignment="true" applyProtection="false">
      <alignment horizontal="right" vertical="center" textRotation="0" wrapText="true" indent="0" shrinkToFit="false"/>
      <protection locked="true" hidden="false"/>
    </xf>
    <xf numFmtId="171" fontId="111" fillId="0" borderId="12" xfId="0" applyFont="true" applyBorder="true" applyAlignment="true" applyProtection="false">
      <alignment horizontal="left" vertical="top" textRotation="0" wrapText="true" indent="0" shrinkToFit="false"/>
      <protection locked="true" hidden="false"/>
    </xf>
    <xf numFmtId="164" fontId="111" fillId="20" borderId="12" xfId="0" applyFont="true" applyBorder="true" applyAlignment="true" applyProtection="false">
      <alignment horizontal="left" vertical="top" textRotation="0" wrapText="true" indent="0" shrinkToFit="false"/>
      <protection locked="true" hidden="false"/>
    </xf>
    <xf numFmtId="165" fontId="111" fillId="20" borderId="12" xfId="0" applyFont="true" applyBorder="true" applyAlignment="true" applyProtection="false">
      <alignment horizontal="center" vertical="center" textRotation="0" wrapText="true" indent="0" shrinkToFit="false"/>
      <protection locked="true" hidden="false"/>
    </xf>
    <xf numFmtId="164" fontId="111" fillId="0" borderId="25" xfId="0" applyFont="true" applyBorder="true" applyAlignment="true" applyProtection="false">
      <alignment horizontal="center" vertical="top" textRotation="0" wrapText="true" indent="0" shrinkToFit="false"/>
      <protection locked="true" hidden="false"/>
    </xf>
    <xf numFmtId="171" fontId="111" fillId="0" borderId="25" xfId="0" applyFont="true" applyBorder="true" applyAlignment="true" applyProtection="false">
      <alignment horizontal="left" vertical="top" textRotation="0" wrapText="true" indent="0" shrinkToFit="false"/>
      <protection locked="true" hidden="false"/>
    </xf>
    <xf numFmtId="164" fontId="111" fillId="0" borderId="13" xfId="0" applyFont="true" applyBorder="true" applyAlignment="true" applyProtection="false">
      <alignment horizontal="center" vertical="top" textRotation="0" wrapText="true" indent="0" shrinkToFit="false"/>
      <protection locked="true" hidden="false"/>
    </xf>
    <xf numFmtId="164" fontId="111" fillId="0" borderId="22" xfId="0" applyFont="true" applyBorder="true" applyAlignment="true" applyProtection="false">
      <alignment horizontal="center" vertical="top" textRotation="0" wrapText="true" indent="0" shrinkToFit="false"/>
      <protection locked="true" hidden="false"/>
    </xf>
    <xf numFmtId="171" fontId="111" fillId="0" borderId="19" xfId="0" applyFont="true" applyBorder="true" applyAlignment="true" applyProtection="false">
      <alignment horizontal="left" vertical="top" textRotation="0" wrapText="true" indent="0" shrinkToFit="false"/>
      <protection locked="true" hidden="false"/>
    </xf>
    <xf numFmtId="164" fontId="111" fillId="0" borderId="16" xfId="0" applyFont="true" applyBorder="true" applyAlignment="true" applyProtection="false">
      <alignment horizontal="center" vertical="top" textRotation="0" wrapText="true" indent="0" shrinkToFit="false"/>
      <protection locked="true" hidden="false"/>
    </xf>
    <xf numFmtId="165" fontId="111" fillId="0" borderId="25" xfId="0" applyFont="true" applyBorder="true" applyAlignment="true" applyProtection="false">
      <alignment horizontal="general" vertical="top" textRotation="0" wrapText="true" indent="0" shrinkToFit="false"/>
      <protection locked="true" hidden="false"/>
    </xf>
    <xf numFmtId="164" fontId="21" fillId="0" borderId="12" xfId="0" applyFont="true" applyBorder="true" applyAlignment="true" applyProtection="false">
      <alignment horizontal="left" vertical="top" textRotation="0" wrapText="true" indent="0" shrinkToFit="false"/>
      <protection locked="true" hidden="false"/>
    </xf>
    <xf numFmtId="165" fontId="21" fillId="0" borderId="13" xfId="0" applyFont="true" applyBorder="true" applyAlignment="true" applyProtection="false">
      <alignment horizontal="center" vertical="center" textRotation="0" wrapText="true" indent="0" shrinkToFit="false"/>
      <protection locked="true" hidden="false"/>
    </xf>
    <xf numFmtId="171" fontId="21" fillId="0" borderId="13" xfId="0" applyFont="true" applyBorder="true" applyAlignment="true" applyProtection="false">
      <alignment horizontal="center" vertical="center" textRotation="0" wrapText="false" indent="0" shrinkToFit="false"/>
      <protection locked="true" hidden="false"/>
    </xf>
    <xf numFmtId="164" fontId="21" fillId="0" borderId="12" xfId="0" applyFont="true" applyBorder="true" applyAlignment="true" applyProtection="false">
      <alignment horizontal="center" vertical="center" textRotation="0" wrapText="true" indent="0" shrinkToFit="false"/>
      <protection locked="true" hidden="false"/>
    </xf>
    <xf numFmtId="165" fontId="21" fillId="0" borderId="12" xfId="0" applyFont="true" applyBorder="true" applyAlignment="true" applyProtection="false">
      <alignment horizontal="general" vertical="center" textRotation="0" wrapText="true" indent="0" shrinkToFit="false"/>
      <protection locked="true" hidden="false"/>
    </xf>
    <xf numFmtId="164" fontId="111" fillId="0" borderId="13" xfId="0" applyFont="true" applyBorder="true" applyAlignment="true" applyProtection="false">
      <alignment horizontal="left" vertical="top" textRotation="0" wrapText="true" indent="0" shrinkToFit="false"/>
      <protection locked="true" hidden="false"/>
    </xf>
    <xf numFmtId="165" fontId="21" fillId="0" borderId="12" xfId="0" applyFont="true" applyBorder="true" applyAlignment="true" applyProtection="false">
      <alignment horizontal="center" vertical="center" textRotation="0" wrapText="true" indent="0" shrinkToFit="false"/>
      <protection locked="true" hidden="false"/>
    </xf>
    <xf numFmtId="165" fontId="21" fillId="0" borderId="25" xfId="0" applyFont="true" applyBorder="true" applyAlignment="true" applyProtection="false">
      <alignment horizontal="general" vertical="center" textRotation="0" wrapText="true" indent="0" shrinkToFit="false"/>
      <protection locked="true" hidden="false"/>
    </xf>
    <xf numFmtId="171" fontId="21" fillId="0" borderId="18" xfId="0" applyFont="true" applyBorder="true" applyAlignment="true" applyProtection="false">
      <alignment horizontal="general" vertical="center" textRotation="0" wrapText="true" indent="0" shrinkToFit="false"/>
      <protection locked="true" hidden="false"/>
    </xf>
    <xf numFmtId="164" fontId="111" fillId="0" borderId="28" xfId="0" applyFont="true" applyBorder="true" applyAlignment="true" applyProtection="false">
      <alignment horizontal="left" vertical="top" textRotation="0" wrapText="true" indent="0" shrinkToFit="false"/>
      <protection locked="true" hidden="false"/>
    </xf>
    <xf numFmtId="164" fontId="111" fillId="0" borderId="19" xfId="0" applyFont="true" applyBorder="true" applyAlignment="true" applyProtection="false">
      <alignment horizontal="left" vertical="top" textRotation="0" wrapText="true" indent="0" shrinkToFit="false"/>
      <protection locked="true" hidden="false"/>
    </xf>
    <xf numFmtId="164" fontId="21" fillId="0" borderId="25" xfId="0" applyFont="true" applyBorder="true" applyAlignment="true" applyProtection="false">
      <alignment horizontal="center" vertical="center" textRotation="0" wrapText="true" indent="0" shrinkToFit="false"/>
      <protection locked="true" hidden="false"/>
    </xf>
    <xf numFmtId="164" fontId="21" fillId="0" borderId="18" xfId="0" applyFont="true" applyBorder="true" applyAlignment="true" applyProtection="false">
      <alignment horizontal="center" vertical="center" textRotation="0" wrapText="true" indent="0" shrinkToFit="false"/>
      <protection locked="true" hidden="false"/>
    </xf>
    <xf numFmtId="165" fontId="21" fillId="0" borderId="25" xfId="0" applyFont="true" applyBorder="true" applyAlignment="true" applyProtection="false">
      <alignment horizontal="center" vertical="center" textRotation="0" wrapText="true" indent="0" shrinkToFit="false"/>
      <protection locked="true" hidden="false"/>
    </xf>
    <xf numFmtId="164" fontId="111" fillId="0" borderId="30" xfId="0" applyFont="true" applyBorder="true" applyAlignment="true" applyProtection="false">
      <alignment horizontal="left" vertical="top" textRotation="0" wrapText="true" indent="0" shrinkToFit="false"/>
      <protection locked="true" hidden="false"/>
    </xf>
    <xf numFmtId="171" fontId="111" fillId="0" borderId="30" xfId="0" applyFont="true" applyBorder="true" applyAlignment="true" applyProtection="false">
      <alignment horizontal="left" vertical="top" textRotation="0" wrapText="true" indent="0" shrinkToFit="false"/>
      <protection locked="true" hidden="false"/>
    </xf>
    <xf numFmtId="165" fontId="17" fillId="0" borderId="14" xfId="0" applyFont="true" applyBorder="true" applyAlignment="true" applyProtection="false">
      <alignment horizontal="left" vertical="center" textRotation="0" wrapText="true" indent="1" shrinkToFit="false"/>
      <protection locked="true" hidden="false"/>
    </xf>
    <xf numFmtId="171" fontId="17" fillId="0" borderId="21" xfId="0" applyFont="true" applyBorder="true" applyAlignment="true" applyProtection="false">
      <alignment horizontal="left" vertical="center" textRotation="0" wrapText="true" indent="1" shrinkToFit="false"/>
      <protection locked="true" hidden="false"/>
    </xf>
    <xf numFmtId="174" fontId="6" fillId="7" borderId="12" xfId="0" applyFont="true" applyBorder="true" applyAlignment="true" applyProtection="false">
      <alignment horizontal="left" vertical="center" textRotation="0" wrapText="true" indent="0" shrinkToFit="false"/>
      <protection locked="true" hidden="false"/>
    </xf>
    <xf numFmtId="171" fontId="24" fillId="0" borderId="0" xfId="0" applyFont="true" applyBorder="true" applyAlignment="true" applyProtection="false">
      <alignment horizontal="center" vertical="center" textRotation="0" wrapText="true" indent="0" shrinkToFit="false"/>
      <protection locked="true" hidden="false"/>
    </xf>
    <xf numFmtId="164" fontId="93" fillId="11" borderId="13" xfId="0" applyFont="true" applyBorder="true" applyAlignment="true" applyProtection="false">
      <alignment horizontal="left" vertical="center" textRotation="0" wrapText="false" indent="0" shrinkToFit="false"/>
      <protection locked="true" hidden="false"/>
    </xf>
    <xf numFmtId="164" fontId="113" fillId="11" borderId="10" xfId="0" applyFont="true" applyBorder="true" applyAlignment="true" applyProtection="false">
      <alignment horizontal="left" vertical="center" textRotation="0" wrapText="false" indent="3" shrinkToFit="false"/>
      <protection locked="true" hidden="false"/>
    </xf>
    <xf numFmtId="164" fontId="48" fillId="11" borderId="10" xfId="0" applyFont="true" applyBorder="true" applyAlignment="true" applyProtection="false">
      <alignment horizontal="center" vertical="center" textRotation="0" wrapText="true" indent="0" shrinkToFit="false"/>
      <protection locked="true" hidden="false"/>
    </xf>
    <xf numFmtId="164" fontId="68" fillId="11" borderId="10" xfId="0" applyFont="true" applyBorder="true" applyAlignment="true" applyProtection="false">
      <alignment horizontal="center" vertical="center" textRotation="0" wrapText="true" indent="0" shrinkToFit="false"/>
      <protection locked="true" hidden="false"/>
    </xf>
    <xf numFmtId="164" fontId="68" fillId="11" borderId="19" xfId="0" applyFont="true" applyBorder="true" applyAlignment="true" applyProtection="false">
      <alignment horizontal="center" vertical="center" textRotation="0" wrapText="true" indent="0" shrinkToFit="false"/>
      <protection locked="true" hidden="false"/>
    </xf>
    <xf numFmtId="164" fontId="113" fillId="11" borderId="10" xfId="0" applyFont="true" applyBorder="true" applyAlignment="true" applyProtection="false">
      <alignment horizontal="left" vertical="center" textRotation="0" wrapText="false" indent="2" shrinkToFit="false"/>
      <protection locked="true" hidden="false"/>
    </xf>
    <xf numFmtId="164" fontId="113" fillId="11" borderId="10" xfId="0" applyFont="true" applyBorder="true" applyAlignment="true" applyProtection="false">
      <alignment horizontal="left" vertical="center" textRotation="0" wrapText="false" indent="1" shrinkToFit="false"/>
      <protection locked="true" hidden="false"/>
    </xf>
    <xf numFmtId="164" fontId="24" fillId="0" borderId="0" xfId="0" applyFont="true" applyBorder="true" applyAlignment="true" applyProtection="false">
      <alignment horizontal="left" vertical="top" textRotation="0" wrapText="false" indent="0" shrinkToFit="false"/>
      <protection locked="true" hidden="false"/>
    </xf>
    <xf numFmtId="164" fontId="68" fillId="11" borderId="13" xfId="0" applyFont="true" applyBorder="true" applyAlignment="true" applyProtection="false">
      <alignment horizontal="left" vertical="top" textRotation="0" wrapText="false" indent="0" shrinkToFit="false"/>
      <protection locked="true" hidden="false"/>
    </xf>
    <xf numFmtId="164" fontId="113" fillId="11" borderId="10" xfId="0" applyFont="true" applyBorder="true" applyAlignment="true" applyProtection="false">
      <alignment horizontal="left" vertical="center" textRotation="0" wrapText="false" indent="0" shrinkToFit="false"/>
      <protection locked="true" hidden="false"/>
    </xf>
    <xf numFmtId="165" fontId="36" fillId="0" borderId="0" xfId="0" applyFont="true" applyBorder="true" applyAlignment="true" applyProtection="false">
      <alignment horizontal="left" vertical="top" textRotation="0" wrapText="true" indent="0" shrinkToFit="false"/>
      <protection locked="true" hidden="false"/>
    </xf>
    <xf numFmtId="164" fontId="0" fillId="0" borderId="12" xfId="46" applyFont="true" applyBorder="true" applyAlignment="true" applyProtection="false">
      <alignment horizontal="general" vertical="top" textRotation="0" wrapText="false" indent="0" shrinkToFit="false"/>
      <protection locked="true" hidden="false"/>
    </xf>
    <xf numFmtId="164" fontId="0" fillId="0" borderId="13" xfId="46" applyFont="true" applyBorder="true" applyAlignment="true" applyProtection="false">
      <alignment horizontal="general" vertical="top" textRotation="0" wrapText="false" indent="0" shrinkToFit="false"/>
      <protection locked="true" hidden="false"/>
    </xf>
    <xf numFmtId="164" fontId="0" fillId="0" borderId="13" xfId="46" applyFont="true" applyBorder="true" applyAlignment="true" applyProtection="false">
      <alignment horizontal="center" vertical="top" textRotation="0" wrapText="false" indent="0" shrinkToFit="false"/>
      <protection locked="true" hidden="false"/>
    </xf>
    <xf numFmtId="164" fontId="0" fillId="24" borderId="25" xfId="46" applyFont="true" applyBorder="true" applyAlignment="true" applyProtection="false">
      <alignment horizontal="general" vertical="top" textRotation="0" wrapText="false" indent="0" shrinkToFit="false"/>
      <protection locked="true" hidden="false"/>
    </xf>
    <xf numFmtId="164" fontId="0" fillId="0" borderId="13" xfId="0" applyFont="true" applyBorder="true" applyAlignment="true" applyProtection="false">
      <alignment horizontal="center" vertical="top" textRotation="0" wrapText="false" indent="0" shrinkToFit="false"/>
      <protection locked="true" hidden="false"/>
    </xf>
    <xf numFmtId="164" fontId="0" fillId="25" borderId="12" xfId="46" applyFont="true" applyBorder="true" applyAlignment="true" applyProtection="false">
      <alignment horizontal="general" vertical="top" textRotation="0" wrapText="false" indent="0" shrinkToFit="false"/>
      <protection locked="true" hidden="false"/>
    </xf>
    <xf numFmtId="164" fontId="0" fillId="0" borderId="10" xfId="46" applyFont="true" applyBorder="true" applyAlignment="true" applyProtection="false">
      <alignment horizontal="center" vertical="top" textRotation="0" wrapText="false" indent="0" shrinkToFit="false"/>
      <protection locked="true" hidden="false"/>
    </xf>
    <xf numFmtId="164" fontId="0" fillId="26" borderId="12" xfId="46" applyFont="true" applyBorder="true" applyAlignment="true" applyProtection="false">
      <alignment horizontal="general" vertical="top" textRotation="0" wrapText="false" indent="0" shrinkToFit="false"/>
      <protection locked="true" hidden="false"/>
    </xf>
    <xf numFmtId="164" fontId="0" fillId="0" borderId="10" xfId="0" applyFont="true" applyBorder="true" applyAlignment="true" applyProtection="false">
      <alignment horizontal="center" vertical="top" textRotation="0" wrapText="false" indent="0" shrinkToFit="false"/>
      <protection locked="true" hidden="false"/>
    </xf>
    <xf numFmtId="164" fontId="0" fillId="27" borderId="12" xfId="46" applyFont="true" applyBorder="true" applyAlignment="true" applyProtection="false">
      <alignment horizontal="general" vertical="top" textRotation="0" wrapText="false" indent="0" shrinkToFit="false"/>
      <protection locked="true" hidden="false"/>
    </xf>
    <xf numFmtId="164" fontId="0" fillId="28" borderId="25" xfId="46" applyFont="true" applyBorder="true" applyAlignment="true" applyProtection="false">
      <alignment horizontal="general" vertical="top" textRotation="0" wrapText="false" indent="0" shrinkToFit="false"/>
      <protection locked="true" hidden="false"/>
    </xf>
    <xf numFmtId="164" fontId="0" fillId="29" borderId="13" xfId="46" applyFont="true" applyBorder="true" applyAlignment="true" applyProtection="false">
      <alignment horizontal="general" vertical="top" textRotation="0" wrapText="false" indent="0" shrinkToFit="false"/>
      <protection locked="true" hidden="false"/>
    </xf>
    <xf numFmtId="164" fontId="0" fillId="29" borderId="12" xfId="46" applyFont="true" applyBorder="true" applyAlignment="true" applyProtection="false">
      <alignment horizontal="general" vertical="top" textRotation="0" wrapText="false" indent="0" shrinkToFit="false"/>
      <protection locked="true" hidden="false"/>
    </xf>
    <xf numFmtId="164" fontId="0" fillId="28" borderId="12" xfId="46" applyFont="true" applyBorder="true" applyAlignment="true" applyProtection="false">
      <alignment horizontal="general" vertical="top" textRotation="0" wrapText="false" indent="0" shrinkToFit="false"/>
      <protection locked="true" hidden="false"/>
    </xf>
    <xf numFmtId="164" fontId="0" fillId="28" borderId="25" xfId="0" applyFont="true" applyBorder="true" applyAlignment="true" applyProtection="false">
      <alignment horizontal="general" vertical="top" textRotation="0" wrapText="false" indent="0" shrinkToFit="false"/>
      <protection locked="true" hidden="false"/>
    </xf>
    <xf numFmtId="164" fontId="0" fillId="9" borderId="0" xfId="0" applyFont="true" applyBorder="true" applyAlignment="true" applyProtection="false">
      <alignment horizontal="general" vertical="top" textRotation="0" wrapText="false" indent="0" shrinkToFit="false"/>
      <protection locked="true" hidden="false"/>
    </xf>
    <xf numFmtId="165" fontId="114" fillId="0" borderId="0" xfId="0" applyFont="true" applyBorder="true" applyAlignment="true" applyProtection="false">
      <alignment horizontal="general" vertical="bottom" textRotation="0" wrapText="false" indent="0" shrinkToFit="false"/>
      <protection locked="true" hidden="false"/>
    </xf>
    <xf numFmtId="165" fontId="0" fillId="0" borderId="0" xfId="0" applyFont="true" applyBorder="true" applyAlignment="true" applyProtection="false">
      <alignment horizontal="general" vertical="bottom" textRotation="0" wrapText="false" indent="0" shrinkToFit="false"/>
      <protection locked="true" hidden="false"/>
    </xf>
    <xf numFmtId="164" fontId="6" fillId="7" borderId="45" xfId="0" applyFont="true" applyBorder="true" applyAlignment="true" applyProtection="false">
      <alignment horizontal="center" vertical="top" textRotation="0" wrapText="false" indent="0" shrinkToFit="false"/>
      <protection locked="true" hidden="false"/>
    </xf>
    <xf numFmtId="164" fontId="115" fillId="0" borderId="7" xfId="0" applyFont="true" applyBorder="true" applyAlignment="true" applyProtection="false">
      <alignment horizontal="general" vertical="top" textRotation="0" wrapText="true" indent="0" shrinkToFit="false"/>
      <protection locked="true" hidden="false"/>
    </xf>
    <xf numFmtId="165" fontId="0" fillId="0" borderId="7" xfId="0" applyFont="true" applyBorder="true" applyAlignment="true" applyProtection="false">
      <alignment horizontal="general" vertical="top" textRotation="0" wrapText="true" indent="0" shrinkToFit="false"/>
      <protection locked="true" hidden="false"/>
    </xf>
    <xf numFmtId="165" fontId="17" fillId="0" borderId="59" xfId="0" applyFont="true" applyBorder="true" applyAlignment="true" applyProtection="false">
      <alignment horizontal="general" vertical="top" textRotation="0" wrapText="true" indent="0" shrinkToFit="false"/>
      <protection locked="true" hidden="false"/>
    </xf>
    <xf numFmtId="165" fontId="0" fillId="0" borderId="12" xfId="0" applyFont="true" applyBorder="true" applyAlignment="true" applyProtection="false">
      <alignment horizontal="general" vertical="top" textRotation="0" wrapText="true" indent="0" shrinkToFit="false"/>
      <protection locked="true" hidden="false"/>
    </xf>
    <xf numFmtId="164" fontId="0" fillId="0" borderId="25" xfId="0" applyFont="true" applyBorder="true" applyAlignment="true" applyProtection="false">
      <alignment horizontal="general" vertical="top" textRotation="0" wrapText="false" indent="0" shrinkToFit="false"/>
      <protection locked="true" hidden="false"/>
    </xf>
    <xf numFmtId="165" fontId="32" fillId="0" borderId="7" xfId="0" applyFont="true" applyBorder="true" applyAlignment="true" applyProtection="false">
      <alignment horizontal="general" vertical="center" textRotation="0" wrapText="true" indent="0" shrinkToFit="false"/>
      <protection locked="true" hidden="false"/>
    </xf>
    <xf numFmtId="165" fontId="17" fillId="0" borderId="0" xfId="0" applyFont="true" applyBorder="true" applyAlignment="true" applyProtection="false">
      <alignment horizontal="general" vertical="top" textRotation="0" wrapText="true" indent="0" shrinkToFit="false"/>
      <protection locked="true" hidden="false"/>
    </xf>
    <xf numFmtId="165" fontId="6" fillId="0" borderId="7" xfId="0" applyFont="true" applyBorder="true" applyAlignment="true" applyProtection="false">
      <alignment horizontal="general" vertical="center" textRotation="0" wrapText="true" indent="0" shrinkToFit="false"/>
      <protection locked="true" hidden="false"/>
    </xf>
  </cellXfs>
  <cellStyles count="36">
    <cellStyle name="Normal" xfId="0" builtinId="0"/>
    <cellStyle name="Comma" xfId="15" builtinId="3"/>
    <cellStyle name="Comma [0]" xfId="16" builtinId="6"/>
    <cellStyle name="Currency" xfId="17" builtinId="4"/>
    <cellStyle name="Currency [0]" xfId="18" builtinId="7"/>
    <cellStyle name="Percent" xfId="19" builtinId="5"/>
    <cellStyle name=" 1" xfId="20"/>
    <cellStyle name=" 1 2" xfId="21"/>
    <cellStyle name=" 1_Stage1" xfId="22"/>
    <cellStyle name="_Model_RAB Мой_PR.PROG.WARM.NOTCOMBI.2012.2.16_v1.4(04.04.11) " xfId="23"/>
    <cellStyle name="_Model_RAB Мой_Книга2_PR.PROG.WARM.NOTCOMBI.2012.2.16_v1.4(04.04.11) " xfId="24"/>
    <cellStyle name="_Model_RAB_MRSK_svod_PR.PROG.WARM.NOTCOMBI.2012.2.16_v1.4(04.04.11) " xfId="25"/>
    <cellStyle name="_Model_RAB_MRSK_svod_Книга2_PR.PROG.WARM.NOTCOMBI.2012.2.16_v1.4(04.04.11) " xfId="26"/>
    <cellStyle name="_МОДЕЛЬ_1 (2)_PR.PROG.WARM.NOTCOMBI.2012.2.16_v1.4(04.04.11) " xfId="27"/>
    <cellStyle name="_МОДЕЛЬ_1 (2)_Книга2_PR.PROG.WARM.NOTCOMBI.2012.2.16_v1.4(04.04.11) " xfId="28"/>
    <cellStyle name="_Расчет RAB_22072008_PR.PROG.WARM.NOTCOMBI.2012.2.16_v1.4(04.04.11) " xfId="29"/>
    <cellStyle name="_Расчет RAB_22072008_Книга2_PR.PROG.WARM.NOTCOMBI.2012.2.16_v1.4(04.04.11) " xfId="30"/>
    <cellStyle name="_Расчет RAB_Лен и МОЭСК_с 2010 года_14.04.2009_со сглаж_version 3.0_без ФСК_PR.PROG.WARM.NOTCOMBI.2012.2.16_v1.4(04.04.11) " xfId="31"/>
    <cellStyle name="_Расчет RAB_Лен и МОЭСК_с 2010 года_14.04.2009_со сглаж_version 3.0_без ФСК_Книга2_PR.PROG.WARM.NOTCOMBI.2012.2.16_v1.4(04.04.11) " xfId="32"/>
    <cellStyle name="_пр 5 тариф RAB_PR.PROG.WARM.NOTCOMBI.2012.2.16_v1.4(04.04.11) " xfId="33"/>
    <cellStyle name="_пр 5 тариф RAB_Книга2_PR.PROG.WARM.NOTCOMBI.2012.2.16_v1.4(04.04.11) " xfId="34"/>
    <cellStyle name="currency1" xfId="35"/>
    <cellStyle name="Currency2" xfId="36"/>
    <cellStyle name="currency3" xfId="37"/>
    <cellStyle name="currency4" xfId="38"/>
    <cellStyle name="Followed Hyperlink" xfId="39"/>
    <cellStyle name="normal" xfId="40"/>
    <cellStyle name="Normal1" xfId="41"/>
    <cellStyle name="Normal2" xfId="42"/>
    <cellStyle name="Percent1" xfId="43"/>
    <cellStyle name="Обычный 10" xfId="44"/>
    <cellStyle name="Обычный 16" xfId="45"/>
    <cellStyle name="Обычный 2" xfId="46"/>
    <cellStyle name="Обычный_BALANCE.WARM.2007YEAR(FACT)" xfId="47"/>
    <cellStyle name="Обычный_PRIL1.ELECTR" xfId="48"/>
    <cellStyle name="Открывавшаяся гиперссылка" xfId="49"/>
  </cellStyles>
  <dxfs count="2">
    <dxf>
      <fill>
        <patternFill patternType="solid">
          <bgColor rgb="FF000000"/>
        </patternFill>
      </fill>
    </dxf>
    <dxf>
      <fill>
        <patternFill patternType="solid">
          <fgColor rgb="FF000000"/>
          <bgColor rgb="FF000000"/>
        </patternFill>
      </fill>
    </dxf>
  </dxfs>
  <colors>
    <indexedColors>
      <rgbColor rgb="FF000000"/>
      <rgbColor rgb="FFFFFFFF"/>
      <rgbColor rgb="FFFF0000"/>
      <rgbColor rgb="FFEAEBEE"/>
      <rgbColor rgb="FF0000FF"/>
      <rgbColor rgb="FFFFFF00"/>
      <rgbColor rgb="FFFF00FF"/>
      <rgbColor rgb="FFB7E4FF"/>
      <rgbColor rgb="FFCC0000"/>
      <rgbColor rgb="FF008000"/>
      <rgbColor rgb="FF000080"/>
      <rgbColor rgb="FF808000"/>
      <rgbColor rgb="FF800080"/>
      <rgbColor rgb="FF0070C0"/>
      <rgbColor rgb="FFC0C0C0"/>
      <rgbColor rgb="FF808080"/>
      <rgbColor rgb="FF8DB4E2"/>
      <rgbColor rgb="FFF2DCDB"/>
      <rgbColor rgb="FFFFFFC0"/>
      <rgbColor rgb="FFE3FAFD"/>
      <rgbColor rgb="FF660066"/>
      <rgbColor rgb="FFE26B0A"/>
      <rgbColor rgb="FF0066CC"/>
      <rgbColor rgb="FFCCCCFF"/>
      <rgbColor rgb="FF000080"/>
      <rgbColor rgb="FFFF00FF"/>
      <rgbColor rgb="FFFDEADA"/>
      <rgbColor rgb="FFD3DBDB"/>
      <rgbColor rgb="FF800080"/>
      <rgbColor rgb="FF800000"/>
      <rgbColor rgb="FFF0F0F0"/>
      <rgbColor rgb="FF0000FF"/>
      <rgbColor rgb="FF00CCFF"/>
      <rgbColor rgb="FFEDF9FF"/>
      <rgbColor rgb="FFD7EAD3"/>
      <rgbColor rgb="FFFFFF99"/>
      <rgbColor rgb="FF8EB4E3"/>
      <rgbColor rgb="FFFFB7B7"/>
      <rgbColor rgb="FFCC99FF"/>
      <rgbColor rgb="FFFFCC99"/>
      <rgbColor rgb="FFD9D9D9"/>
      <rgbColor rgb="FFBCBCBC"/>
      <rgbColor rgb="FFC3D69B"/>
      <rgbColor rgb="FFDDD9C3"/>
      <rgbColor rgb="FFFF9900"/>
      <rgbColor rgb="FFE46C0A"/>
      <rgbColor rgb="FFA6A6A6"/>
      <rgbColor rgb="FF999999"/>
      <rgbColor rgb="FF003366"/>
      <rgbColor rgb="FFBFBFBF"/>
      <rgbColor rgb="FF003300"/>
      <rgbColor rgb="FF333300"/>
      <rgbColor rgb="FF993300"/>
      <rgbColor rgb="FFE6E0EC"/>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worksheet" Target="worksheets/sheet44.xml"/><Relationship Id="rId47" Type="http://schemas.openxmlformats.org/officeDocument/2006/relationships/worksheet" Target="worksheets/sheet45.xml"/><Relationship Id="rId48" Type="http://schemas.openxmlformats.org/officeDocument/2006/relationships/worksheet" Target="worksheets/sheet46.xml"/><Relationship Id="rId49" Type="http://schemas.openxmlformats.org/officeDocument/2006/relationships/worksheet" Target="worksheets/sheet47.xml"/><Relationship Id="rId50" Type="http://schemas.openxmlformats.org/officeDocument/2006/relationships/worksheet" Target="worksheets/sheet48.xml"/><Relationship Id="rId51" Type="http://schemas.openxmlformats.org/officeDocument/2006/relationships/worksheet" Target="worksheets/sheet49.xml"/><Relationship Id="rId52" Type="http://schemas.openxmlformats.org/officeDocument/2006/relationships/worksheet" Target="worksheets/sheet50.xml"/><Relationship Id="rId53" Type="http://schemas.openxmlformats.org/officeDocument/2006/relationships/worksheet" Target="worksheets/sheet51.xml"/><Relationship Id="rId54" Type="http://schemas.openxmlformats.org/officeDocument/2006/relationships/worksheet" Target="worksheets/sheet52.xml"/><Relationship Id="rId55" Type="http://schemas.openxmlformats.org/officeDocument/2006/relationships/worksheet" Target="worksheets/sheet53.xml"/><Relationship Id="rId56" Type="http://schemas.openxmlformats.org/officeDocument/2006/relationships/worksheet" Target="worksheets/sheet54.xml"/><Relationship Id="rId57" Type="http://schemas.openxmlformats.org/officeDocument/2006/relationships/worksheet" Target="worksheets/sheet55.xml"/><Relationship Id="rId58" Type="http://schemas.openxmlformats.org/officeDocument/2006/relationships/worksheet" Target="worksheets/sheet56.xml"/><Relationship Id="rId59" Type="http://schemas.openxmlformats.org/officeDocument/2006/relationships/worksheet" Target="worksheets/sheet57.xml"/><Relationship Id="rId60" Type="http://schemas.openxmlformats.org/officeDocument/2006/relationships/worksheet" Target="worksheets/sheet58.xml"/><Relationship Id="rId61" Type="http://schemas.openxmlformats.org/officeDocument/2006/relationships/worksheet" Target="worksheets/sheet59.xml"/><Relationship Id="rId62" Type="http://schemas.openxmlformats.org/officeDocument/2006/relationships/worksheet" Target="worksheets/sheet60.xml"/><Relationship Id="rId63" Type="http://schemas.openxmlformats.org/officeDocument/2006/relationships/worksheet" Target="worksheets/sheet61.xml"/><Relationship Id="rId64" Type="http://schemas.openxmlformats.org/officeDocument/2006/relationships/worksheet" Target="worksheets/sheet62.xml"/><Relationship Id="rId65" Type="http://schemas.openxmlformats.org/officeDocument/2006/relationships/worksheet" Target="worksheets/sheet63.xml"/><Relationship Id="rId66" Type="http://schemas.openxmlformats.org/officeDocument/2006/relationships/worksheet" Target="worksheets/sheet64.xml"/><Relationship Id="rId67" Type="http://schemas.openxmlformats.org/officeDocument/2006/relationships/worksheet" Target="worksheets/sheet65.xml"/><Relationship Id="rId68" Type="http://schemas.openxmlformats.org/officeDocument/2006/relationships/worksheet" Target="worksheets/sheet66.xml"/><Relationship Id="rId69" Type="http://schemas.openxmlformats.org/officeDocument/2006/relationships/worksheet" Target="worksheets/sheet67.xml"/><Relationship Id="rId70" Type="http://schemas.openxmlformats.org/officeDocument/2006/relationships/worksheet" Target="worksheets/sheet68.xml"/><Relationship Id="rId71" Type="http://schemas.openxmlformats.org/officeDocument/2006/relationships/worksheet" Target="worksheets/sheet69.xml"/><Relationship Id="rId72" Type="http://schemas.openxmlformats.org/officeDocument/2006/relationships/worksheet" Target="worksheets/sheet70.xml"/><Relationship Id="rId73" Type="http://schemas.openxmlformats.org/officeDocument/2006/relationships/worksheet" Target="worksheets/sheet71.xml"/><Relationship Id="rId74" Type="http://schemas.openxmlformats.org/officeDocument/2006/relationships/worksheet" Target="worksheets/sheet72.xml"/><Relationship Id="rId75" Type="http://schemas.openxmlformats.org/officeDocument/2006/relationships/worksheet" Target="worksheets/sheet73.xml"/><Relationship Id="rId76" Type="http://schemas.openxmlformats.org/officeDocument/2006/relationships/worksheet" Target="worksheets/sheet74.xml"/><Relationship Id="rId77" Type="http://schemas.openxmlformats.org/officeDocument/2006/relationships/worksheet" Target="worksheets/sheet75.xml"/><Relationship Id="rId78" Type="http://schemas.openxmlformats.org/officeDocument/2006/relationships/worksheet" Target="worksheets/sheet76.xml"/><Relationship Id="rId79" Type="http://schemas.openxmlformats.org/officeDocument/2006/relationships/worksheet" Target="worksheets/sheet77.xml"/><Relationship Id="rId80" Type="http://schemas.openxmlformats.org/officeDocument/2006/relationships/worksheet" Target="worksheets/sheet78.xml"/><Relationship Id="rId81" Type="http://schemas.openxmlformats.org/officeDocument/2006/relationships/worksheet" Target="worksheets/sheet79.xml"/><Relationship Id="rId82" Type="http://schemas.openxmlformats.org/officeDocument/2006/relationships/worksheet" Target="worksheets/sheet80.xml"/><Relationship Id="rId83" Type="http://schemas.openxmlformats.org/officeDocument/2006/relationships/worksheet" Target="worksheets/sheet81.xml"/><Relationship Id="rId84" Type="http://schemas.openxmlformats.org/officeDocument/2006/relationships/worksheet" Target="worksheets/sheet82.xml"/><Relationship Id="rId85" Type="http://schemas.openxmlformats.org/officeDocument/2006/relationships/worksheet" Target="worksheets/sheet83.xml"/><Relationship Id="rId86" Type="http://schemas.openxmlformats.org/officeDocument/2006/relationships/worksheet" Target="worksheets/sheet84.xml"/><Relationship Id="rId87" Type="http://schemas.openxmlformats.org/officeDocument/2006/relationships/worksheet" Target="worksheets/sheet85.xml"/><Relationship Id="rId88" Type="http://schemas.openxmlformats.org/officeDocument/2006/relationships/worksheet" Target="worksheets/sheet86.xml"/><Relationship Id="rId89" Type="http://schemas.openxmlformats.org/officeDocument/2006/relationships/worksheet" Target="worksheets/sheet87.xml"/><Relationship Id="rId90" Type="http://schemas.openxmlformats.org/officeDocument/2006/relationships/worksheet" Target="worksheets/sheet88.xml"/><Relationship Id="rId91" Type="http://schemas.openxmlformats.org/officeDocument/2006/relationships/worksheet" Target="worksheets/sheet89.xml"/><Relationship Id="rId92"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1.jpeg"/><Relationship Id="rId3" Type="http://schemas.openxmlformats.org/officeDocument/2006/relationships/image" Target="../media/image2.png"/><Relationship Id="rId4" Type="http://schemas.openxmlformats.org/officeDocument/2006/relationships/image" Target="../media/image3.png"/><Relationship Id="rId5"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
</Relationships>
</file>

<file path=xl/drawings/_rels/drawing3.xml.rels><?xml version="1.0" encoding="UTF-8"?>
<Relationships xmlns="http://schemas.openxmlformats.org/package/2006/relationships"><Relationship Id="rId1" Type="http://schemas.openxmlformats.org/officeDocument/2006/relationships/image" Target="../media/image5.png"/>
</Relationships>
</file>

<file path=xl/drawings/_rels/drawing4.xml.rels><?xml version="1.0" encoding="UTF-8"?>
<Relationships xmlns="http://schemas.openxmlformats.org/package/2006/relationships"><Relationship Id="rId1" Type="http://schemas.openxmlformats.org/officeDocument/2006/relationships/image" Target="../media/image6.png"/>
</Relationships>
</file>

<file path=xl/drawings/_rels/drawing5.xml.rels><?xml version="1.0" encoding="UTF-8"?>
<Relationships xmlns="http://schemas.openxmlformats.org/package/2006/relationships"><Relationship Id="rId1" Type="http://schemas.openxmlformats.org/officeDocument/2006/relationships/image" Target="../media/image7.png"/>
</Relationships>
</file>

<file path=xl/drawings/_rels/drawing6.xml.rels><?xml version="1.0" encoding="UTF-8"?>
<Relationships xmlns="http://schemas.openxmlformats.org/package/2006/relationships"><Relationship Id="rId1" Type="http://schemas.openxmlformats.org/officeDocument/2006/relationships/image" Target="../media/image7.png"/>
</Relationships>
</file>

<file path=xl/drawings/_rels/drawing7.xml.rels><?xml version="1.0" encoding="UTF-8"?>
<Relationships xmlns="http://schemas.openxmlformats.org/package/2006/relationships"><Relationship Id="rId1" Type="http://schemas.openxmlformats.org/officeDocument/2006/relationships/image" Target="../media/image8.png"/>
</Relationships>
</file>

<file path=xl/drawings/_rels/drawing8.xml.rels><?xml version="1.0" encoding="UTF-8"?>
<Relationships xmlns="http://schemas.openxmlformats.org/package/2006/relationships"><Relationship Id="rId1" Type="http://schemas.openxmlformats.org/officeDocument/2006/relationships/image" Target="../media/image7.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4</xdr:col>
      <xdr:colOff>5040</xdr:colOff>
      <xdr:row>13</xdr:row>
      <xdr:rowOff>0</xdr:rowOff>
    </xdr:from>
    <xdr:to>
      <xdr:col>4</xdr:col>
      <xdr:colOff>314280</xdr:colOff>
      <xdr:row>13</xdr:row>
      <xdr:rowOff>343080</xdr:rowOff>
    </xdr:to>
    <xdr:pic>
      <xdr:nvPicPr>
        <xdr:cNvPr id="0" name="PHONE_PIC" descr="update_org.png"/>
        <xdr:cNvPicPr/>
      </xdr:nvPicPr>
      <xdr:blipFill>
        <a:blip r:embed="rId1"/>
        <a:stretch/>
      </xdr:blipFill>
      <xdr:spPr>
        <a:xfrm>
          <a:off x="213480" y="1400040"/>
          <a:ext cx="309240" cy="343080"/>
        </a:xfrm>
        <a:prstGeom prst="rect">
          <a:avLst/>
        </a:prstGeom>
        <a:ln w="0">
          <a:noFill/>
        </a:ln>
      </xdr:spPr>
    </xdr:pic>
    <xdr:clientData/>
  </xdr:twoCellAnchor>
  <xdr:twoCellAnchor editAs="absolute">
    <xdr:from>
      <xdr:col>4</xdr:col>
      <xdr:colOff>5040</xdr:colOff>
      <xdr:row>16</xdr:row>
      <xdr:rowOff>0</xdr:rowOff>
    </xdr:from>
    <xdr:to>
      <xdr:col>4</xdr:col>
      <xdr:colOff>314280</xdr:colOff>
      <xdr:row>29</xdr:row>
      <xdr:rowOff>76320</xdr:rowOff>
    </xdr:to>
    <xdr:pic>
      <xdr:nvPicPr>
        <xdr:cNvPr id="1" name="PHONE_PIC_1" descr="update_org.png"/>
        <xdr:cNvPicPr/>
      </xdr:nvPicPr>
      <xdr:blipFill>
        <a:blip r:embed="rId2"/>
        <a:stretch/>
      </xdr:blipFill>
      <xdr:spPr>
        <a:xfrm>
          <a:off x="213480" y="2066760"/>
          <a:ext cx="309240" cy="343080"/>
        </a:xfrm>
        <a:prstGeom prst="rect">
          <a:avLst/>
        </a:prstGeom>
        <a:ln w="0">
          <a:noFill/>
        </a:ln>
      </xdr:spPr>
    </xdr:pic>
    <xdr:clientData/>
  </xdr:twoCellAnchor>
  <xdr:twoCellAnchor editAs="absolute">
    <xdr:from>
      <xdr:col>8</xdr:col>
      <xdr:colOff>0</xdr:colOff>
      <xdr:row>4</xdr:row>
      <xdr:rowOff>0</xdr:rowOff>
    </xdr:from>
    <xdr:to>
      <xdr:col>8</xdr:col>
      <xdr:colOff>207360</xdr:colOff>
      <xdr:row>4</xdr:row>
      <xdr:rowOff>207360</xdr:rowOff>
    </xdr:to>
    <xdr:pic>
      <xdr:nvPicPr>
        <xdr:cNvPr id="2" name="cmdCreatePrintedForm" descr="Создание печатной формы"/>
        <xdr:cNvPicPr/>
      </xdr:nvPicPr>
      <xdr:blipFill>
        <a:blip r:embed="rId3"/>
        <a:stretch/>
      </xdr:blipFill>
      <xdr:spPr>
        <a:xfrm>
          <a:off x="5987880" y="476280"/>
          <a:ext cx="207360" cy="207360"/>
        </a:xfrm>
        <a:prstGeom prst="rect">
          <a:avLst/>
        </a:prstGeom>
        <a:ln w="0">
          <a:noFill/>
        </a:ln>
      </xdr:spPr>
    </xdr:pic>
    <xdr:clientData/>
  </xdr:twoCellAnchor>
  <xdr:twoCellAnchor editAs="absolute">
    <xdr:from>
      <xdr:col>4</xdr:col>
      <xdr:colOff>0</xdr:colOff>
      <xdr:row>30</xdr:row>
      <xdr:rowOff>0</xdr:rowOff>
    </xdr:from>
    <xdr:to>
      <xdr:col>4</xdr:col>
      <xdr:colOff>287640</xdr:colOff>
      <xdr:row>32</xdr:row>
      <xdr:rowOff>53640</xdr:rowOff>
    </xdr:to>
    <xdr:pic>
      <xdr:nvPicPr>
        <xdr:cNvPr id="3" name="UPDATE_PLAN1X_DATA" descr="update_org.png"/>
        <xdr:cNvPicPr/>
      </xdr:nvPicPr>
      <xdr:blipFill>
        <a:blip r:embed="rId4"/>
        <a:stretch/>
      </xdr:blipFill>
      <xdr:spPr>
        <a:xfrm>
          <a:off x="208440" y="2409840"/>
          <a:ext cx="287640" cy="320400"/>
        </a:xfrm>
        <a:prstGeom prst="rect">
          <a:avLst/>
        </a:prstGeom>
        <a:ln w="0">
          <a:noFill/>
        </a:ln>
      </xdr:spPr>
    </xdr:pic>
    <xdr:clientData/>
  </xdr:twoCellAnchor>
  <xdr:twoCellAnchor editAs="absolute">
    <xdr:from>
      <xdr:col>4</xdr:col>
      <xdr:colOff>5040</xdr:colOff>
      <xdr:row>65</xdr:row>
      <xdr:rowOff>76320</xdr:rowOff>
    </xdr:from>
    <xdr:to>
      <xdr:col>4</xdr:col>
      <xdr:colOff>321480</xdr:colOff>
      <xdr:row>65</xdr:row>
      <xdr:rowOff>399960</xdr:rowOff>
    </xdr:to>
    <xdr:pic>
      <xdr:nvPicPr>
        <xdr:cNvPr id="4" name="PHONE_PIC_2" descr="update_org.png"/>
        <xdr:cNvPicPr/>
      </xdr:nvPicPr>
      <xdr:blipFill>
        <a:blip r:embed="rId5"/>
        <a:stretch/>
      </xdr:blipFill>
      <xdr:spPr>
        <a:xfrm>
          <a:off x="213480" y="4848480"/>
          <a:ext cx="316440" cy="3236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6</xdr:col>
      <xdr:colOff>0</xdr:colOff>
      <xdr:row>8</xdr:row>
      <xdr:rowOff>0</xdr:rowOff>
    </xdr:from>
    <xdr:to>
      <xdr:col>6</xdr:col>
      <xdr:colOff>207360</xdr:colOff>
      <xdr:row>8</xdr:row>
      <xdr:rowOff>207360</xdr:rowOff>
    </xdr:to>
    <xdr:pic>
      <xdr:nvPicPr>
        <xdr:cNvPr id="5" name="ExcludeHelp_2" descr="Справка по листу"/>
        <xdr:cNvPicPr/>
      </xdr:nvPicPr>
      <xdr:blipFill>
        <a:blip r:embed="rId1"/>
        <a:stretch/>
      </xdr:blipFill>
      <xdr:spPr>
        <a:xfrm>
          <a:off x="624960" y="743040"/>
          <a:ext cx="207360" cy="207360"/>
        </a:xfrm>
        <a:prstGeom prst="rect">
          <a:avLst/>
        </a:prstGeom>
        <a:ln w="0">
          <a:noFill/>
        </a:ln>
      </xdr:spPr>
    </xdr:pic>
    <xdr:clientData/>
  </xdr:twoCellAnchor>
  <xdr:twoCellAnchor editAs="absolute">
    <xdr:from>
      <xdr:col>4</xdr:col>
      <xdr:colOff>114480</xdr:colOff>
      <xdr:row>7</xdr:row>
      <xdr:rowOff>0</xdr:rowOff>
    </xdr:from>
    <xdr:to>
      <xdr:col>6</xdr:col>
      <xdr:colOff>18720</xdr:colOff>
      <xdr:row>7</xdr:row>
      <xdr:rowOff>0</xdr:rowOff>
    </xdr:to>
    <xdr:pic>
      <xdr:nvPicPr>
        <xdr:cNvPr id="6" name="Рисунок 1" descr=""/>
        <xdr:cNvPicPr/>
      </xdr:nvPicPr>
      <xdr:blipFill>
        <a:blip r:embed="rId2"/>
        <a:stretch/>
      </xdr:blipFill>
      <xdr:spPr>
        <a:xfrm>
          <a:off x="426960" y="561960"/>
          <a:ext cx="216720" cy="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73440</xdr:colOff>
      <xdr:row>7</xdr:row>
      <xdr:rowOff>0</xdr:rowOff>
    </xdr:from>
    <xdr:to>
      <xdr:col>4</xdr:col>
      <xdr:colOff>155160</xdr:colOff>
      <xdr:row>7</xdr:row>
      <xdr:rowOff>0</xdr:rowOff>
    </xdr:to>
    <xdr:pic>
      <xdr:nvPicPr>
        <xdr:cNvPr id="7" name="Рисунок 8" descr=""/>
        <xdr:cNvPicPr/>
      </xdr:nvPicPr>
      <xdr:blipFill>
        <a:blip r:embed="rId1"/>
        <a:stretch/>
      </xdr:blipFill>
      <xdr:spPr>
        <a:xfrm>
          <a:off x="229680" y="847800"/>
          <a:ext cx="289800" cy="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9</xdr:row>
      <xdr:rowOff>0</xdr:rowOff>
    </xdr:from>
    <xdr:to>
      <xdr:col>7</xdr:col>
      <xdr:colOff>0</xdr:colOff>
      <xdr:row>9</xdr:row>
      <xdr:rowOff>30240</xdr:rowOff>
    </xdr:to>
    <xdr:pic>
      <xdr:nvPicPr>
        <xdr:cNvPr id="8" name="UNFREEZE_PANES_I11" descr="update_org.png"/>
        <xdr:cNvPicPr/>
      </xdr:nvPicPr>
      <xdr:blipFill>
        <a:blip r:embed="rId1"/>
        <a:stretch/>
      </xdr:blipFill>
      <xdr:spPr>
        <a:xfrm>
          <a:off x="0" y="1333440"/>
          <a:ext cx="0" cy="3024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4</xdr:row>
      <xdr:rowOff>0</xdr:rowOff>
    </xdr:from>
    <xdr:to>
      <xdr:col>7</xdr:col>
      <xdr:colOff>155880</xdr:colOff>
      <xdr:row>4</xdr:row>
      <xdr:rowOff>637560</xdr:rowOff>
    </xdr:to>
    <xdr:pic>
      <xdr:nvPicPr>
        <xdr:cNvPr id="9" name="UNFREEZE_PANES" descr="update_org.png"/>
        <xdr:cNvPicPr/>
      </xdr:nvPicPr>
      <xdr:blipFill>
        <a:blip r:embed="rId1"/>
        <a:stretch/>
      </xdr:blipFill>
      <xdr:spPr>
        <a:xfrm>
          <a:off x="0" y="76320"/>
          <a:ext cx="155880" cy="63756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13</xdr:row>
      <xdr:rowOff>0</xdr:rowOff>
    </xdr:from>
    <xdr:to>
      <xdr:col>2</xdr:col>
      <xdr:colOff>155880</xdr:colOff>
      <xdr:row>13</xdr:row>
      <xdr:rowOff>247320</xdr:rowOff>
    </xdr:to>
    <xdr:pic>
      <xdr:nvPicPr>
        <xdr:cNvPr id="10" name="UNFREEZE_PANES" descr="update_org.png"/>
        <xdr:cNvPicPr/>
      </xdr:nvPicPr>
      <xdr:blipFill>
        <a:blip r:embed="rId1"/>
        <a:stretch/>
      </xdr:blipFill>
      <xdr:spPr>
        <a:xfrm>
          <a:off x="0" y="181080"/>
          <a:ext cx="155880" cy="24732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0</xdr:colOff>
      <xdr:row>13</xdr:row>
      <xdr:rowOff>0</xdr:rowOff>
    </xdr:from>
    <xdr:to>
      <xdr:col>3</xdr:col>
      <xdr:colOff>155880</xdr:colOff>
      <xdr:row>13</xdr:row>
      <xdr:rowOff>171000</xdr:rowOff>
    </xdr:to>
    <xdr:pic>
      <xdr:nvPicPr>
        <xdr:cNvPr id="11" name="UNFREEZE_PANES" descr="update_org.png"/>
        <xdr:cNvPicPr/>
      </xdr:nvPicPr>
      <xdr:blipFill>
        <a:blip r:embed="rId1"/>
        <a:stretch/>
      </xdr:blipFill>
      <xdr:spPr>
        <a:xfrm>
          <a:off x="0" y="76320"/>
          <a:ext cx="155880" cy="1710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4</xdr:row>
      <xdr:rowOff>0</xdr:rowOff>
    </xdr:from>
    <xdr:to>
      <xdr:col>2</xdr:col>
      <xdr:colOff>155880</xdr:colOff>
      <xdr:row>4</xdr:row>
      <xdr:rowOff>247320</xdr:rowOff>
    </xdr:to>
    <xdr:pic>
      <xdr:nvPicPr>
        <xdr:cNvPr id="12" name="UNFREEZE_PANES" descr="update_org.png"/>
        <xdr:cNvPicPr/>
      </xdr:nvPicPr>
      <xdr:blipFill>
        <a:blip r:embed="rId1"/>
        <a:stretch/>
      </xdr:blipFill>
      <xdr:spPr>
        <a:xfrm>
          <a:off x="0" y="76320"/>
          <a:ext cx="155880" cy="247320"/>
        </a:xfrm>
        <a:prstGeom prst="rect">
          <a:avLst/>
        </a:prstGeom>
        <a:ln w="0">
          <a:noFill/>
        </a:ln>
      </xdr:spPr>
    </xdr:pic>
    <xdr:clientData/>
  </xdr:twoCellAnchor>
</xdr:wsDr>
</file>

<file path=xl/theme/theme1.xml><?xml version="1.0" encoding="utf-8"?>
<a:theme xmlns:a="http://schemas.openxmlformats.org/drawingml/2006/main" xmlns:r="http://schemas.openxmlformats.org/officeDocument/2006/relationships"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35.xml.rels><?xml version="1.0" encoding="UTF-8"?>
<Relationships xmlns="http://schemas.openxmlformats.org/package/2006/relationships"><Relationship Id="rId1" Type="http://schemas.openxmlformats.org/officeDocument/2006/relationships/drawing" Target="../drawings/drawing4.xml"/>
</Relationships>
</file>

<file path=xl/worksheets/_rels/sheet36.xml.rels><?xml version="1.0" encoding="UTF-8"?>
<Relationships xmlns="http://schemas.openxmlformats.org/package/2006/relationships"><Relationship Id="rId1" Type="http://schemas.openxmlformats.org/officeDocument/2006/relationships/drawing" Target="../drawings/drawing5.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47.xml.rels><?xml version="1.0" encoding="UTF-8"?>
<Relationships xmlns="http://schemas.openxmlformats.org/package/2006/relationships"><Relationship Id="rId1" Type="http://schemas.openxmlformats.org/officeDocument/2006/relationships/drawing" Target="../drawings/drawing6.xml"/>
</Relationships>
</file>

<file path=xl/worksheets/_rels/sheet48.xml.rels><?xml version="1.0" encoding="UTF-8"?>
<Relationships xmlns="http://schemas.openxmlformats.org/package/2006/relationships"><Relationship Id="rId1" Type="http://schemas.openxmlformats.org/officeDocument/2006/relationships/drawing" Target="../drawings/drawing7.xml"/>
</Relationships>
</file>

<file path=xl/worksheets/_rels/sheet49.xml.rels><?xml version="1.0" encoding="UTF-8"?>
<Relationships xmlns="http://schemas.openxmlformats.org/package/2006/relationships"><Relationship Id="rId1" Type="http://schemas.openxmlformats.org/officeDocument/2006/relationships/drawing" Target="../drawings/drawing8.xml"/>
</Relationships>
</file>

<file path=xl/worksheets/_rels/sheet51.xml.rels><?xml version="1.0" encoding="UTF-8"?>
<Relationships xmlns="http://schemas.openxmlformats.org/package/2006/relationships"><Relationship Id="rId1" Type="http://schemas.openxmlformats.org/officeDocument/2006/relationships/comments" Target="../comments51.xml"/><Relationship Id="rId2" Type="http://schemas.openxmlformats.org/officeDocument/2006/relationships/vmlDrawing" Target="../drawings/vmlDrawing2.vml"/>
</Relationships>
</file>

<file path=xl/worksheets/_rels/sheet63.xml.rels><?xml version="1.0" encoding="UTF-8"?>
<Relationships xmlns="http://schemas.openxmlformats.org/package/2006/relationships"><Relationship Id="rId1" Type="http://schemas.openxmlformats.org/officeDocument/2006/relationships/comments" Target="../comments6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2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0390625" defaultRowHeight="12.75" zeroHeight="false" outlineLevelRow="0" outlineLevelCol="0"/>
  <cols>
    <col collapsed="false" customWidth="true" hidden="false" outlineLevel="0" max="1" min="1" style="1" width="5.43"/>
    <col collapsed="false" customWidth="true" hidden="false" outlineLevel="0" max="2" min="2" style="1" width="9.15"/>
    <col collapsed="false" customWidth="true" hidden="false" outlineLevel="0" max="3" min="3" style="1" width="16.43"/>
    <col collapsed="false" customWidth="true" hidden="false" outlineLevel="0" max="25" min="4" style="1" width="6.28"/>
    <col collapsed="false" customWidth="false" hidden="false" outlineLevel="0" max="28" min="26" style="1" width="11"/>
  </cols>
  <sheetData>
    <row r="1" customFormat="false" ht="15.75" hidden="false" customHeight="true" outlineLevel="0" collapsed="false">
      <c r="A1" s="2"/>
      <c r="B1" s="3"/>
      <c r="C1" s="3"/>
      <c r="D1" s="3"/>
      <c r="E1" s="3"/>
      <c r="F1" s="3"/>
      <c r="G1" s="3"/>
      <c r="H1" s="3"/>
      <c r="I1" s="3"/>
      <c r="J1" s="3"/>
      <c r="K1" s="3"/>
      <c r="L1" s="3"/>
      <c r="M1" s="3"/>
      <c r="N1" s="3"/>
      <c r="O1" s="3"/>
      <c r="P1" s="3"/>
      <c r="Q1" s="3"/>
      <c r="R1" s="3"/>
      <c r="S1" s="3"/>
      <c r="T1" s="3"/>
      <c r="U1" s="3"/>
      <c r="V1" s="3"/>
      <c r="W1" s="3"/>
      <c r="X1" s="3"/>
      <c r="Y1" s="4"/>
      <c r="Z1" s="3"/>
      <c r="AA1" s="5" t="s">
        <v>0</v>
      </c>
      <c r="AB1" s="3"/>
    </row>
    <row r="2" customFormat="false" ht="17.25" hidden="false" customHeight="true" outlineLevel="0" collapsed="false">
      <c r="A2" s="3"/>
      <c r="B2" s="6" t="s">
        <v>1</v>
      </c>
      <c r="C2" s="6"/>
      <c r="D2" s="6"/>
      <c r="E2" s="6"/>
      <c r="F2" s="6"/>
      <c r="G2" s="6"/>
      <c r="H2" s="6"/>
      <c r="I2" s="6"/>
      <c r="J2" s="6"/>
      <c r="K2" s="6"/>
      <c r="L2" s="6"/>
      <c r="M2" s="6"/>
      <c r="N2" s="6"/>
      <c r="O2" s="6"/>
      <c r="P2" s="6"/>
      <c r="Q2" s="7"/>
      <c r="R2" s="7"/>
      <c r="S2" s="7"/>
      <c r="T2" s="7"/>
      <c r="U2" s="7"/>
      <c r="V2" s="8"/>
      <c r="W2" s="7"/>
      <c r="X2" s="7"/>
      <c r="Y2" s="4"/>
      <c r="Z2" s="3"/>
      <c r="AA2" s="5"/>
      <c r="AB2" s="3"/>
    </row>
    <row r="3" customFormat="false" ht="15.75" hidden="false" customHeight="true" outlineLevel="0" collapsed="false">
      <c r="A3" s="3"/>
      <c r="B3" s="9" t="s">
        <v>2</v>
      </c>
      <c r="C3" s="9"/>
      <c r="D3" s="9"/>
      <c r="E3" s="9"/>
      <c r="F3" s="9"/>
      <c r="G3" s="9"/>
      <c r="H3" s="9"/>
      <c r="I3" s="9"/>
      <c r="J3" s="9"/>
      <c r="K3" s="9"/>
      <c r="L3" s="9"/>
      <c r="M3" s="9"/>
      <c r="N3" s="9"/>
      <c r="O3" s="9"/>
      <c r="P3" s="9"/>
      <c r="Q3" s="8"/>
      <c r="R3" s="8"/>
      <c r="S3" s="7"/>
      <c r="T3" s="7"/>
      <c r="U3" s="7"/>
      <c r="V3" s="8"/>
      <c r="W3" s="8"/>
      <c r="X3" s="8"/>
      <c r="Y3" s="8"/>
      <c r="Z3" s="3"/>
      <c r="AA3" s="5"/>
      <c r="AB3" s="3"/>
    </row>
    <row r="4" customFormat="false" ht="17.25" hidden="false" customHeight="true" outlineLevel="0" collapsed="false">
      <c r="A4" s="3"/>
      <c r="B4" s="10"/>
      <c r="C4" s="3"/>
      <c r="D4" s="8"/>
      <c r="E4" s="8"/>
      <c r="F4" s="8"/>
      <c r="G4" s="8"/>
      <c r="H4" s="8"/>
      <c r="I4" s="8"/>
      <c r="J4" s="8"/>
      <c r="K4" s="8"/>
      <c r="L4" s="8"/>
      <c r="M4" s="8"/>
      <c r="N4" s="8"/>
      <c r="O4" s="8"/>
      <c r="P4" s="8"/>
      <c r="Q4" s="8"/>
      <c r="R4" s="8"/>
      <c r="S4" s="8"/>
      <c r="T4" s="8"/>
      <c r="U4" s="8"/>
      <c r="V4" s="8"/>
      <c r="W4" s="8"/>
      <c r="X4" s="8"/>
      <c r="Y4" s="8"/>
      <c r="Z4" s="3"/>
      <c r="AA4" s="5"/>
      <c r="AB4" s="3"/>
    </row>
    <row r="5" customFormat="false" ht="22.5" hidden="false" customHeight="true" outlineLevel="0" collapsed="false">
      <c r="A5" s="11"/>
      <c r="B5" s="12" t="str">
        <f aca="false">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2"/>
      <c r="D5" s="12"/>
      <c r="E5" s="12"/>
      <c r="F5" s="12"/>
      <c r="G5" s="12"/>
      <c r="H5" s="12"/>
      <c r="I5" s="12"/>
      <c r="J5" s="12"/>
      <c r="K5" s="12"/>
      <c r="L5" s="12"/>
      <c r="M5" s="12"/>
      <c r="N5" s="12"/>
      <c r="O5" s="12"/>
      <c r="P5" s="12"/>
      <c r="Q5" s="12"/>
      <c r="R5" s="12"/>
      <c r="S5" s="12"/>
      <c r="T5" s="12"/>
      <c r="U5" s="12"/>
      <c r="V5" s="12"/>
      <c r="W5" s="12"/>
      <c r="X5" s="12"/>
      <c r="Y5" s="12"/>
      <c r="Z5" s="11"/>
      <c r="AA5" s="5"/>
      <c r="AB5" s="11"/>
    </row>
    <row r="6" customFormat="false" ht="15" hidden="false" customHeight="true" outlineLevel="0" collapsed="false">
      <c r="A6" s="13"/>
      <c r="B6" s="14" t="s">
        <v>3</v>
      </c>
      <c r="C6" s="14"/>
      <c r="D6" s="15"/>
      <c r="E6" s="15"/>
      <c r="F6" s="15"/>
      <c r="G6" s="15"/>
      <c r="H6" s="15"/>
      <c r="I6" s="15"/>
      <c r="J6" s="15"/>
      <c r="K6" s="15"/>
      <c r="L6" s="15"/>
      <c r="M6" s="15"/>
      <c r="N6" s="15"/>
      <c r="O6" s="15"/>
      <c r="P6" s="15"/>
      <c r="Q6" s="15"/>
      <c r="R6" s="15"/>
      <c r="S6" s="15"/>
      <c r="T6" s="15"/>
      <c r="U6" s="15"/>
      <c r="V6" s="15"/>
      <c r="W6" s="15"/>
      <c r="X6" s="15"/>
      <c r="Y6" s="16"/>
      <c r="Z6" s="17"/>
      <c r="AA6" s="18"/>
      <c r="AB6" s="18"/>
    </row>
    <row r="7" customFormat="false" ht="15" hidden="false" customHeight="true" outlineLevel="0" collapsed="false">
      <c r="A7" s="13"/>
      <c r="B7" s="14"/>
      <c r="C7" s="14"/>
      <c r="D7" s="15"/>
      <c r="E7" s="15"/>
      <c r="F7" s="19"/>
      <c r="G7" s="19"/>
      <c r="H7" s="19"/>
      <c r="I7" s="19"/>
      <c r="J7" s="19"/>
      <c r="K7" s="19"/>
      <c r="L7" s="19"/>
      <c r="M7" s="19"/>
      <c r="N7" s="19"/>
      <c r="O7" s="15"/>
      <c r="P7" s="19"/>
      <c r="Q7" s="19"/>
      <c r="R7" s="19"/>
      <c r="S7" s="19"/>
      <c r="T7" s="19"/>
      <c r="U7" s="19"/>
      <c r="V7" s="19"/>
      <c r="W7" s="19"/>
      <c r="X7" s="19"/>
      <c r="Y7" s="16"/>
      <c r="Z7" s="17"/>
      <c r="AA7" s="18"/>
      <c r="AB7" s="18"/>
    </row>
    <row r="8" customFormat="false" ht="15" hidden="false" customHeight="true" outlineLevel="0" collapsed="false">
      <c r="A8" s="13"/>
      <c r="B8" s="14"/>
      <c r="C8" s="14"/>
      <c r="D8" s="20"/>
      <c r="E8" s="21" t="s">
        <v>4</v>
      </c>
      <c r="F8" s="22" t="s">
        <v>5</v>
      </c>
      <c r="G8" s="22"/>
      <c r="H8" s="22"/>
      <c r="I8" s="22"/>
      <c r="J8" s="22"/>
      <c r="K8" s="22"/>
      <c r="L8" s="22"/>
      <c r="M8" s="22"/>
      <c r="N8" s="20"/>
      <c r="O8" s="23" t="s">
        <v>4</v>
      </c>
      <c r="P8" s="24" t="s">
        <v>6</v>
      </c>
      <c r="Q8" s="24"/>
      <c r="R8" s="24"/>
      <c r="S8" s="24"/>
      <c r="T8" s="24"/>
      <c r="U8" s="24"/>
      <c r="V8" s="24"/>
      <c r="W8" s="24"/>
      <c r="X8" s="24"/>
      <c r="Y8" s="16"/>
      <c r="Z8" s="17"/>
      <c r="AA8" s="18"/>
      <c r="AB8" s="18"/>
    </row>
    <row r="9" customFormat="false" ht="15" hidden="false" customHeight="true" outlineLevel="0" collapsed="false">
      <c r="A9" s="13"/>
      <c r="B9" s="14"/>
      <c r="C9" s="14"/>
      <c r="D9" s="20"/>
      <c r="E9" s="25" t="s">
        <v>4</v>
      </c>
      <c r="F9" s="22" t="s">
        <v>7</v>
      </c>
      <c r="G9" s="22"/>
      <c r="H9" s="22"/>
      <c r="I9" s="22"/>
      <c r="J9" s="22"/>
      <c r="K9" s="22"/>
      <c r="L9" s="22"/>
      <c r="M9" s="22"/>
      <c r="N9" s="20"/>
      <c r="O9" s="26" t="s">
        <v>4</v>
      </c>
      <c r="P9" s="24" t="s">
        <v>8</v>
      </c>
      <c r="Q9" s="24"/>
      <c r="R9" s="24"/>
      <c r="S9" s="24"/>
      <c r="T9" s="24"/>
      <c r="U9" s="24"/>
      <c r="V9" s="24"/>
      <c r="W9" s="24"/>
      <c r="X9" s="24"/>
      <c r="Y9" s="16"/>
      <c r="Z9" s="17"/>
      <c r="AA9" s="18"/>
      <c r="AB9" s="18"/>
    </row>
    <row r="10" customFormat="false" ht="30" hidden="false" customHeight="true" outlineLevel="0" collapsed="false">
      <c r="A10" s="13"/>
      <c r="B10" s="14"/>
      <c r="C10" s="14"/>
      <c r="D10" s="27"/>
      <c r="E10" s="28"/>
      <c r="F10" s="19"/>
      <c r="G10" s="19"/>
      <c r="H10" s="19"/>
      <c r="I10" s="19"/>
      <c r="J10" s="19"/>
      <c r="K10" s="19"/>
      <c r="L10" s="19"/>
      <c r="M10" s="19"/>
      <c r="N10" s="19"/>
      <c r="O10" s="28"/>
      <c r="P10" s="19"/>
      <c r="Q10" s="19"/>
      <c r="R10" s="19"/>
      <c r="S10" s="19"/>
      <c r="T10" s="19"/>
      <c r="U10" s="19"/>
      <c r="V10" s="19"/>
      <c r="W10" s="19"/>
      <c r="X10" s="19"/>
      <c r="Y10" s="16"/>
      <c r="Z10" s="17"/>
      <c r="AA10" s="18"/>
      <c r="AB10" s="18"/>
    </row>
    <row r="11" customFormat="false" ht="19.5" hidden="false" customHeight="true" outlineLevel="0" collapsed="false">
      <c r="A11" s="13"/>
      <c r="B11" s="29" t="s">
        <v>9</v>
      </c>
      <c r="C11" s="29"/>
      <c r="D11" s="20"/>
      <c r="E11" s="30"/>
      <c r="F11" s="30"/>
      <c r="G11" s="30"/>
      <c r="H11" s="30"/>
      <c r="I11" s="30"/>
      <c r="J11" s="30"/>
      <c r="K11" s="30"/>
      <c r="L11" s="30"/>
      <c r="M11" s="30"/>
      <c r="N11" s="30"/>
      <c r="O11" s="30"/>
      <c r="P11" s="30"/>
      <c r="Q11" s="30"/>
      <c r="R11" s="30"/>
      <c r="S11" s="30"/>
      <c r="T11" s="30"/>
      <c r="U11" s="30"/>
      <c r="V11" s="30"/>
      <c r="W11" s="30"/>
      <c r="X11" s="30"/>
      <c r="Y11" s="16"/>
      <c r="Z11" s="17"/>
      <c r="AA11" s="18"/>
      <c r="AB11" s="18"/>
    </row>
    <row r="12" customFormat="false" ht="69" hidden="false" customHeight="true" outlineLevel="0" collapsed="false">
      <c r="A12" s="13"/>
      <c r="B12" s="29"/>
      <c r="C12" s="29"/>
      <c r="D12" s="31"/>
      <c r="E12" s="32" t="s">
        <v>10</v>
      </c>
      <c r="F12" s="32"/>
      <c r="G12" s="32"/>
      <c r="H12" s="32"/>
      <c r="I12" s="32"/>
      <c r="J12" s="32"/>
      <c r="K12" s="32"/>
      <c r="L12" s="32"/>
      <c r="M12" s="32"/>
      <c r="N12" s="32"/>
      <c r="O12" s="32"/>
      <c r="P12" s="32"/>
      <c r="Q12" s="32"/>
      <c r="R12" s="32"/>
      <c r="S12" s="32"/>
      <c r="T12" s="32"/>
      <c r="U12" s="32"/>
      <c r="V12" s="32"/>
      <c r="W12" s="32"/>
      <c r="X12" s="32"/>
      <c r="Y12" s="16"/>
      <c r="Z12" s="17"/>
      <c r="AA12" s="18"/>
      <c r="AB12" s="18"/>
    </row>
    <row r="13" customFormat="false" ht="15" hidden="false" customHeight="true" outlineLevel="0" collapsed="false">
      <c r="A13" s="13"/>
      <c r="B13" s="33" t="s">
        <v>11</v>
      </c>
      <c r="C13" s="33"/>
      <c r="D13" s="15"/>
      <c r="E13" s="30"/>
      <c r="F13" s="30"/>
      <c r="G13" s="30"/>
      <c r="H13" s="30"/>
      <c r="I13" s="30"/>
      <c r="J13" s="30"/>
      <c r="K13" s="30"/>
      <c r="L13" s="30"/>
      <c r="M13" s="30"/>
      <c r="N13" s="30"/>
      <c r="O13" s="30"/>
      <c r="P13" s="30"/>
      <c r="Q13" s="30"/>
      <c r="R13" s="30"/>
      <c r="S13" s="30"/>
      <c r="T13" s="30"/>
      <c r="U13" s="30"/>
      <c r="V13" s="30"/>
      <c r="W13" s="30"/>
      <c r="X13" s="30"/>
      <c r="Y13" s="16"/>
      <c r="Z13" s="17"/>
      <c r="AA13" s="18"/>
      <c r="AB13" s="18"/>
    </row>
    <row r="14" customFormat="false" ht="57" hidden="false" customHeight="true" outlineLevel="0" collapsed="false">
      <c r="A14" s="13"/>
      <c r="B14" s="33"/>
      <c r="C14" s="33"/>
      <c r="D14" s="20"/>
      <c r="E14" s="34" t="s">
        <v>12</v>
      </c>
      <c r="F14" s="34"/>
      <c r="G14" s="34"/>
      <c r="H14" s="34"/>
      <c r="I14" s="34"/>
      <c r="J14" s="34"/>
      <c r="K14" s="34"/>
      <c r="L14" s="34"/>
      <c r="M14" s="34"/>
      <c r="N14" s="34"/>
      <c r="O14" s="34"/>
      <c r="P14" s="34"/>
      <c r="Q14" s="34"/>
      <c r="R14" s="34"/>
      <c r="S14" s="34"/>
      <c r="T14" s="34"/>
      <c r="U14" s="34"/>
      <c r="V14" s="34"/>
      <c r="W14" s="34"/>
      <c r="X14" s="34"/>
      <c r="Y14" s="16"/>
      <c r="Z14" s="17"/>
      <c r="AA14" s="18"/>
      <c r="AB14" s="18"/>
    </row>
    <row r="15" customFormat="false" ht="16.5" hidden="false" customHeight="true" outlineLevel="0" collapsed="false">
      <c r="A15" s="13"/>
      <c r="B15" s="33"/>
      <c r="C15" s="33"/>
      <c r="D15" s="35"/>
      <c r="E15" s="36"/>
      <c r="F15" s="36"/>
      <c r="G15" s="36"/>
      <c r="H15" s="36"/>
      <c r="I15" s="36"/>
      <c r="J15" s="36"/>
      <c r="K15" s="36"/>
      <c r="L15" s="36"/>
      <c r="M15" s="36"/>
      <c r="N15" s="36"/>
      <c r="O15" s="36"/>
      <c r="P15" s="36"/>
      <c r="Q15" s="36"/>
      <c r="R15" s="36"/>
      <c r="S15" s="36"/>
      <c r="T15" s="36"/>
      <c r="U15" s="36"/>
      <c r="V15" s="36"/>
      <c r="W15" s="36"/>
      <c r="X15" s="36"/>
      <c r="Y15" s="37"/>
      <c r="Z15" s="17"/>
      <c r="AA15" s="38"/>
      <c r="AB15" s="18"/>
    </row>
    <row r="16" customFormat="false" ht="95.25" hidden="false" customHeight="true" outlineLevel="0" collapsed="false">
      <c r="A16" s="3"/>
      <c r="B16" s="34"/>
      <c r="C16" s="34"/>
      <c r="D16" s="34"/>
      <c r="E16" s="34"/>
      <c r="F16" s="34"/>
      <c r="G16" s="34"/>
      <c r="H16" s="34"/>
      <c r="I16" s="34"/>
      <c r="J16" s="34"/>
      <c r="K16" s="34"/>
      <c r="L16" s="34"/>
      <c r="M16" s="34"/>
      <c r="N16" s="34"/>
      <c r="O16" s="34"/>
      <c r="P16" s="34"/>
      <c r="Q16" s="34"/>
      <c r="R16" s="34"/>
      <c r="S16" s="34"/>
      <c r="T16" s="34"/>
      <c r="U16" s="34"/>
      <c r="V16" s="34"/>
      <c r="W16" s="34"/>
      <c r="X16" s="34"/>
      <c r="Y16" s="34"/>
      <c r="Z16" s="3"/>
      <c r="AA16" s="5"/>
      <c r="AB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W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3" min="2" style="42" width="9.15"/>
    <col collapsed="false" customWidth="true" hidden="false" outlineLevel="0" max="4" min="4" style="121" width="3"/>
    <col collapsed="false" customWidth="true" hidden="false" outlineLevel="0" max="5" min="5" style="42" width="6"/>
    <col collapsed="false" customWidth="true" hidden="true" outlineLevel="0" max="6" min="6" style="42" width="1.71"/>
    <col collapsed="false" customWidth="true" hidden="false" outlineLevel="0" max="8" min="7" style="42" width="30"/>
    <col collapsed="false" customWidth="true" hidden="false" outlineLevel="0" max="9" min="9" style="42" width="8"/>
    <col collapsed="false" customWidth="true" hidden="false" outlineLevel="0" max="10" min="10" style="42" width="12.15"/>
    <col collapsed="false" customWidth="true" hidden="false" outlineLevel="0" max="11" min="11" style="42" width="46"/>
    <col collapsed="false" customWidth="true" hidden="false" outlineLevel="0" max="12" min="12" style="42" width="100"/>
    <col collapsed="false" customWidth="true" hidden="false" outlineLevel="0" max="13" min="13" style="133" width="7"/>
    <col collapsed="false" customWidth="true" hidden="false" outlineLevel="0" max="22" min="14" style="42" width="10"/>
    <col collapsed="false" customWidth="false" hidden="true" outlineLevel="0" max="23" min="23" style="42" width="10.57"/>
  </cols>
  <sheetData>
    <row r="1" s="49" customFormat="true" ht="5.25" hidden="true" customHeight="true" outlineLevel="0" collapsed="false">
      <c r="D1" s="125"/>
      <c r="G1" s="49" t="s">
        <v>81</v>
      </c>
      <c r="H1" s="49" t="s">
        <v>82</v>
      </c>
      <c r="I1" s="49" t="s">
        <v>83</v>
      </c>
      <c r="P1" s="49" t="s">
        <v>81</v>
      </c>
      <c r="Q1" s="49" t="s">
        <v>82</v>
      </c>
      <c r="R1" s="49" t="s">
        <v>83</v>
      </c>
      <c r="W1" s="49" t="s">
        <v>14</v>
      </c>
    </row>
    <row r="2" s="49" customFormat="true" ht="5.25" hidden="true" customHeight="true" outlineLevel="0" collapsed="false">
      <c r="D2" s="125"/>
      <c r="W2" s="49" t="n">
        <v>0</v>
      </c>
    </row>
    <row r="3" s="60" customFormat="true" ht="5.25" hidden="false" customHeight="true" outlineLevel="0" collapsed="false">
      <c r="A3" s="354"/>
      <c r="D3" s="355"/>
      <c r="E3" s="59"/>
      <c r="F3" s="59"/>
      <c r="G3" s="59"/>
      <c r="H3" s="59"/>
      <c r="I3" s="391"/>
      <c r="J3" s="392"/>
      <c r="K3" s="392"/>
      <c r="L3" s="392"/>
      <c r="W3" s="60" t="n">
        <v>5</v>
      </c>
    </row>
    <row r="4" customFormat="false" ht="23.25" hidden="false" customHeight="true" outlineLevel="0" collapsed="false">
      <c r="D4" s="328"/>
      <c r="E4" s="254" t="s">
        <v>385</v>
      </c>
      <c r="F4" s="254"/>
      <c r="G4" s="254"/>
      <c r="H4" s="254"/>
      <c r="I4" s="254"/>
      <c r="J4" s="353"/>
      <c r="K4" s="393"/>
      <c r="L4" s="393"/>
      <c r="W4" s="42" t="n">
        <v>22</v>
      </c>
    </row>
    <row r="5" s="42" customFormat="true" ht="18" hidden="false" customHeight="true" outlineLevel="0" collapsed="false">
      <c r="A5" s="48"/>
      <c r="D5" s="328"/>
      <c r="E5" s="259" t="str">
        <f aca="false">IF(org=0,"Не определено",org)</f>
        <v>Филиал ПАО "ОГК-2" - Серовская ГРЭС, г. Серов</v>
      </c>
      <c r="F5" s="259"/>
      <c r="G5" s="259"/>
      <c r="H5" s="259"/>
      <c r="I5" s="259"/>
      <c r="J5" s="353"/>
      <c r="K5" s="393"/>
      <c r="L5" s="393"/>
      <c r="M5" s="133"/>
      <c r="W5" s="42" t="n">
        <v>17</v>
      </c>
    </row>
    <row r="6" s="60" customFormat="true" ht="11.25" hidden="false" customHeight="true" outlineLevel="0" collapsed="false">
      <c r="A6" s="354"/>
      <c r="D6" s="355"/>
      <c r="E6" s="59"/>
      <c r="F6" s="59"/>
      <c r="G6" s="394"/>
      <c r="H6" s="394"/>
      <c r="I6" s="356"/>
      <c r="J6" s="356"/>
      <c r="K6" s="290"/>
      <c r="L6" s="356"/>
      <c r="W6" s="60" t="n">
        <v>11</v>
      </c>
    </row>
    <row r="7" customFormat="false" ht="14.25" hidden="false" customHeight="true" outlineLevel="0" collapsed="false">
      <c r="D7" s="328"/>
      <c r="E7" s="294" t="s">
        <v>297</v>
      </c>
      <c r="F7" s="294"/>
      <c r="G7" s="294"/>
      <c r="H7" s="294"/>
      <c r="I7" s="294"/>
      <c r="J7" s="294"/>
      <c r="K7" s="294"/>
      <c r="L7" s="358" t="s">
        <v>298</v>
      </c>
      <c r="W7" s="42" t="n">
        <v>14</v>
      </c>
    </row>
    <row r="8" customFormat="false" ht="48" hidden="false" customHeight="true" outlineLevel="0" collapsed="false">
      <c r="D8" s="328"/>
      <c r="E8" s="395" t="s">
        <v>86</v>
      </c>
      <c r="F8" s="395"/>
      <c r="G8" s="150" t="s">
        <v>84</v>
      </c>
      <c r="H8" s="150" t="s">
        <v>85</v>
      </c>
      <c r="I8" s="220" t="s">
        <v>83</v>
      </c>
      <c r="J8" s="220" t="s">
        <v>386</v>
      </c>
      <c r="K8" s="220" t="s">
        <v>387</v>
      </c>
      <c r="L8" s="358"/>
      <c r="W8" s="42" t="n">
        <v>46</v>
      </c>
    </row>
    <row r="9" customFormat="false" ht="12" hidden="true" customHeight="true" outlineLevel="0" collapsed="false">
      <c r="D9" s="365"/>
      <c r="E9" s="396"/>
      <c r="F9" s="396"/>
      <c r="G9" s="396"/>
      <c r="H9" s="396"/>
      <c r="I9" s="396"/>
      <c r="J9" s="396"/>
      <c r="K9" s="396"/>
      <c r="L9" s="396"/>
      <c r="M9" s="42"/>
      <c r="W9" s="42" t="n">
        <v>0</v>
      </c>
    </row>
    <row r="10" customFormat="false" ht="14.25" hidden="true" customHeight="true" outlineLevel="0" collapsed="false">
      <c r="A10" s="42"/>
      <c r="D10" s="328"/>
      <c r="E10" s="150" t="n">
        <v>0</v>
      </c>
      <c r="F10" s="150"/>
      <c r="G10" s="397"/>
      <c r="H10" s="397"/>
      <c r="I10" s="397"/>
      <c r="J10" s="397"/>
      <c r="K10" s="397"/>
      <c r="L10" s="379" t="s">
        <v>388</v>
      </c>
      <c r="W10" s="42" t="n">
        <v>0</v>
      </c>
    </row>
    <row r="11" customFormat="false" ht="15" hidden="true" customHeight="true" outlineLevel="0" collapsed="false">
      <c r="A11" s="43"/>
      <c r="B11" s="136"/>
      <c r="C11" s="136"/>
      <c r="D11" s="398"/>
      <c r="E11" s="399"/>
      <c r="F11" s="399"/>
      <c r="G11" s="399"/>
      <c r="H11" s="399"/>
      <c r="I11" s="196"/>
      <c r="J11" s="400"/>
      <c r="K11" s="401"/>
      <c r="L11" s="379"/>
      <c r="M11" s="49"/>
      <c r="N11" s="49"/>
      <c r="O11" s="49"/>
      <c r="P11" s="402"/>
      <c r="Q11" s="402"/>
      <c r="R11" s="403"/>
      <c r="S11" s="49"/>
      <c r="T11" s="49"/>
      <c r="U11" s="49"/>
      <c r="V11" s="49"/>
      <c r="W11" s="42" t="n">
        <v>0</v>
      </c>
    </row>
    <row r="12" s="60" customFormat="true" ht="15" hidden="false" customHeight="true" outlineLevel="0" collapsed="false">
      <c r="A12" s="43"/>
      <c r="B12" s="136"/>
      <c r="C12" s="136"/>
      <c r="D12" s="404"/>
      <c r="E12" s="395" t="n">
        <v>1</v>
      </c>
      <c r="F12" s="405" t="n">
        <v>23</v>
      </c>
      <c r="G12" s="406"/>
      <c r="H12" s="157"/>
      <c r="I12" s="158"/>
      <c r="J12" s="407" t="s">
        <v>64</v>
      </c>
      <c r="K12" s="408"/>
      <c r="L12" s="379"/>
      <c r="M12" s="49"/>
      <c r="N12" s="49"/>
      <c r="O12" s="49"/>
      <c r="P12" s="402" t="s">
        <v>389</v>
      </c>
      <c r="Q12" s="402" t="s">
        <v>390</v>
      </c>
      <c r="R12" s="403" t="s">
        <v>391</v>
      </c>
      <c r="S12" s="49" t="s">
        <v>392</v>
      </c>
      <c r="T12" s="49"/>
      <c r="U12" s="49"/>
      <c r="V12" s="49"/>
      <c r="W12" s="60" t="n">
        <v>14</v>
      </c>
    </row>
    <row r="13" customFormat="false" ht="15.75" hidden="false" customHeight="true" outlineLevel="0" collapsed="false">
      <c r="A13" s="43"/>
      <c r="D13" s="328"/>
      <c r="E13" s="380"/>
      <c r="F13" s="409"/>
      <c r="G13" s="170" t="s">
        <v>100</v>
      </c>
      <c r="H13" s="410"/>
      <c r="I13" s="410"/>
      <c r="J13" s="410"/>
      <c r="K13" s="411"/>
      <c r="L13" s="379"/>
      <c r="M13" s="42"/>
      <c r="W13" s="42" t="n">
        <v>15</v>
      </c>
    </row>
    <row r="14" customFormat="false" ht="11.25" hidden="false" customHeight="true" outlineLevel="0" collapsed="false">
      <c r="A14" s="354"/>
      <c r="B14" s="60"/>
      <c r="C14" s="60"/>
      <c r="D14" s="412"/>
      <c r="E14" s="60"/>
      <c r="F14" s="60"/>
      <c r="G14" s="60"/>
      <c r="H14" s="60"/>
      <c r="I14" s="60"/>
      <c r="J14" s="60"/>
      <c r="K14" s="60"/>
      <c r="L14" s="60"/>
      <c r="M14" s="60"/>
      <c r="N14" s="60"/>
      <c r="O14" s="60"/>
      <c r="P14" s="60"/>
      <c r="Q14" s="60"/>
      <c r="R14" s="60"/>
      <c r="S14" s="60"/>
      <c r="T14" s="60"/>
      <c r="U14" s="60"/>
      <c r="V14" s="60"/>
      <c r="W14" s="42" t="n">
        <v>11</v>
      </c>
    </row>
    <row r="15" customFormat="false" ht="14.25" hidden="false" customHeight="true" outlineLevel="0" collapsed="false">
      <c r="D15" s="413"/>
      <c r="E15" s="414"/>
      <c r="F15" s="414"/>
      <c r="G15" s="415" t="str">
        <f aca="false">"&lt;1&gt;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13"/>
      <c r="I15" s="413"/>
      <c r="J15" s="413"/>
      <c r="K15" s="413"/>
      <c r="L15" s="413"/>
      <c r="W15" s="42" t="n">
        <v>14</v>
      </c>
    </row>
    <row r="16" customFormat="false" ht="14.25" hidden="false" customHeight="true" outlineLevel="0" collapsed="false">
      <c r="W16" s="42" t="n">
        <v>14</v>
      </c>
    </row>
    <row r="17" customFormat="false" ht="14.25" hidden="false" customHeight="true" outlineLevel="0" collapsed="false">
      <c r="W17" s="42" t="n">
        <v>14</v>
      </c>
    </row>
    <row r="18" customFormat="false" ht="14.25" hidden="false" customHeight="true" outlineLevel="0" collapsed="false">
      <c r="W18" s="42" t="n">
        <v>14</v>
      </c>
    </row>
    <row r="19" customFormat="false" ht="22.5" hidden="true" customHeight="true" outlineLevel="0" collapsed="false">
      <c r="A19" s="48" t="s">
        <v>80</v>
      </c>
      <c r="B19" s="42" t="n">
        <v>0</v>
      </c>
      <c r="C19" s="42" t="n">
        <v>0</v>
      </c>
      <c r="D19" s="121" t="n">
        <v>3</v>
      </c>
      <c r="E19" s="42" t="n">
        <v>6</v>
      </c>
      <c r="F19" s="42" t="n">
        <v>0</v>
      </c>
      <c r="G19" s="42" t="n">
        <v>30</v>
      </c>
      <c r="H19" s="42" t="n">
        <v>30</v>
      </c>
      <c r="I19" s="42" t="n">
        <v>8</v>
      </c>
      <c r="J19" s="42" t="n">
        <v>12</v>
      </c>
      <c r="K19" s="42" t="n">
        <v>46</v>
      </c>
      <c r="L19" s="42" t="n">
        <v>100</v>
      </c>
      <c r="M19" s="133" t="n">
        <v>7</v>
      </c>
      <c r="N19" s="42" t="n">
        <v>10</v>
      </c>
      <c r="O19" s="42" t="n">
        <v>10</v>
      </c>
      <c r="P19" s="42" t="n">
        <v>10</v>
      </c>
      <c r="Q19" s="42" t="n">
        <v>10</v>
      </c>
      <c r="R19" s="42" t="n">
        <v>10</v>
      </c>
      <c r="S19" s="42" t="n">
        <v>10</v>
      </c>
      <c r="T19" s="42" t="n">
        <v>10</v>
      </c>
      <c r="U19" s="42" t="n">
        <v>10</v>
      </c>
      <c r="V19" s="42" t="n">
        <v>10</v>
      </c>
      <c r="W19" s="42" t="n">
        <v>23</v>
      </c>
    </row>
  </sheetData>
  <mergeCells count="6">
    <mergeCell ref="E4:I4"/>
    <mergeCell ref="E5:I5"/>
    <mergeCell ref="E7:K7"/>
    <mergeCell ref="L7:L8"/>
    <mergeCell ref="L10:L13"/>
    <mergeCell ref="A11:A13"/>
  </mergeCells>
  <dataValidations count="3">
    <dataValidation allowBlank="true" error="Допускается ввод только неотрицательных чисел!" errorStyle="stop" errorTitle="Ошибка" operator="between" showDropDown="false" showErrorMessage="true" showInputMessage="false" sqref="G10:K10"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12" type="textLength">
      <formula1>900</formula1>
      <formula2>0</formula2>
    </dataValidation>
    <dataValidation allowBlank="true" errorStyle="stop" operator="between" prompt="Изменение значения по двойному щелчоку левой кнопки мыши" showDropDown="false" showErrorMessage="true" showInputMessage="true" sqref="J12"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47.25" hidden="true" customHeight="true" outlineLevel="0" collapsed="false">
      <c r="A6" s="417"/>
      <c r="B6" s="417"/>
      <c r="C6" s="417"/>
      <c r="D6" s="417"/>
      <c r="E6" s="418"/>
      <c r="F6" s="418"/>
      <c r="G6" s="418"/>
      <c r="H6" s="418"/>
      <c r="I6" s="434" t="e">
        <f aca="false">S5&amp;".1"</f>
        <v>#N/A</v>
      </c>
      <c r="J6" s="417"/>
      <c r="K6" s="417"/>
      <c r="L6" s="419" t="s">
        <v>400</v>
      </c>
      <c r="M6" s="45"/>
      <c r="P6" s="125" t="n">
        <v>1</v>
      </c>
      <c r="Q6" s="125"/>
      <c r="R6" s="435"/>
      <c r="S6" s="422" t="e">
        <f aca="false">$I6</f>
        <v>#N/A</v>
      </c>
      <c r="T6" s="436" t="s">
        <v>401</v>
      </c>
      <c r="U6" s="424"/>
      <c r="V6" s="437"/>
      <c r="W6" s="437"/>
      <c r="X6" s="437"/>
      <c r="Y6" s="437"/>
      <c r="Z6" s="437"/>
      <c r="AA6" s="437"/>
      <c r="AB6" s="437"/>
      <c r="AC6" s="437"/>
      <c r="AD6" s="437"/>
      <c r="AE6" s="437"/>
      <c r="AF6" s="437"/>
      <c r="AG6" s="437"/>
      <c r="AH6" s="437"/>
      <c r="AI6" s="437"/>
      <c r="AJ6" s="437"/>
      <c r="AK6" s="437"/>
      <c r="AL6" s="437"/>
      <c r="AM6" s="427" t="s">
        <v>402</v>
      </c>
      <c r="AO6" s="122"/>
      <c r="AP6" s="122" t="str">
        <f aca="false">IF(T6="","",T6)</f>
        <v>Схема подключения теплопотребляющей установки к коллектору источника тепловой энергии</v>
      </c>
      <c r="AQ6" s="122"/>
      <c r="AR6" s="122"/>
      <c r="AS6" s="42" t="n">
        <v>0</v>
      </c>
    </row>
    <row r="7" customFormat="false" ht="21"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48"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417"/>
      <c r="B11" s="417"/>
      <c r="C11" s="417"/>
      <c r="D11" s="417"/>
      <c r="E11" s="418"/>
      <c r="F11" s="418"/>
      <c r="G11" s="418"/>
      <c r="H11" s="418"/>
      <c r="I11" s="434"/>
      <c r="J11" s="417"/>
      <c r="K11" s="417"/>
      <c r="L11" s="419"/>
      <c r="M11" s="45"/>
      <c r="P11" s="125"/>
      <c r="Q11" s="125"/>
      <c r="R11" s="435"/>
      <c r="S11" s="447"/>
      <c r="T11" s="450"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447"/>
      <c r="T12" s="454" t="s">
        <v>410</v>
      </c>
      <c r="U12" s="196"/>
      <c r="V12" s="196"/>
      <c r="W12" s="196"/>
      <c r="X12" s="196"/>
      <c r="Y12" s="196"/>
      <c r="Z12" s="196"/>
      <c r="AA12" s="196"/>
      <c r="AB12" s="196"/>
      <c r="AC12" s="451"/>
      <c r="AD12" s="196"/>
      <c r="AE12" s="196"/>
      <c r="AF12" s="196"/>
      <c r="AG12" s="196"/>
      <c r="AH12" s="196"/>
      <c r="AI12" s="196"/>
      <c r="AJ12" s="196"/>
      <c r="AK12" s="451"/>
      <c r="AL12" s="196"/>
      <c r="AM12" s="452"/>
      <c r="AO12" s="122"/>
      <c r="AP12" s="122" t="str">
        <f aca="false">IF(T12="","",T12)</f>
        <v>Добавить схему подключения</v>
      </c>
      <c r="AQ12" s="122"/>
      <c r="AR12" s="122"/>
      <c r="AS12" s="42" t="n">
        <v>0</v>
      </c>
    </row>
    <row r="13" s="49" customFormat="true" ht="0.7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14.2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14.25" hidden="false" customHeight="true" outlineLevel="0" collapsed="false">
      <c r="Q26" s="470"/>
      <c r="R26" s="470"/>
      <c r="S26" s="215"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5"/>
      <c r="U26" s="215"/>
      <c r="V26" s="215"/>
      <c r="W26" s="215"/>
      <c r="X26" s="215"/>
      <c r="Y26" s="215"/>
      <c r="Z26" s="215"/>
      <c r="AA26" s="215"/>
      <c r="AB26" s="215"/>
      <c r="AC26" s="215"/>
      <c r="AD26" s="215"/>
      <c r="AE26" s="215"/>
      <c r="AF26" s="215"/>
      <c r="AG26" s="215"/>
      <c r="AH26" s="215"/>
      <c r="AI26" s="215"/>
      <c r="AJ26" s="215"/>
      <c r="AK26" s="217"/>
      <c r="AS26" s="42" t="n">
        <v>14</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t="s">
        <v>431</v>
      </c>
      <c r="X40" s="138" t="s">
        <v>432</v>
      </c>
      <c r="Y40" s="138"/>
      <c r="Z40" s="138" t="s">
        <v>433</v>
      </c>
      <c r="AA40" s="138"/>
      <c r="AB40" s="138"/>
      <c r="AC40" s="395"/>
      <c r="AD40" s="484" t="s">
        <v>430</v>
      </c>
      <c r="AE40" s="434" t="s">
        <v>431</v>
      </c>
      <c r="AF40" s="138" t="s">
        <v>432</v>
      </c>
      <c r="AG40" s="138"/>
      <c r="AH40" s="138" t="s">
        <v>433</v>
      </c>
      <c r="AI40" s="138"/>
      <c r="AJ40" s="138"/>
      <c r="AK40" s="395"/>
      <c r="AL40" s="482"/>
      <c r="AM40" s="138"/>
      <c r="AS40" s="42" t="n">
        <v>34</v>
      </c>
    </row>
    <row r="41" customFormat="false" ht="35.25"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4" hidden="false" customHeight="true" outlineLevel="0" collapsed="false">
      <c r="A43" s="417" t="s">
        <v>155</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23</v>
      </c>
    </row>
    <row r="44" customFormat="false" ht="24" hidden="false" customHeight="true" outlineLevel="0" collapsed="false">
      <c r="A44" s="417" t="s">
        <v>155</v>
      </c>
      <c r="B44" s="417" t="s">
        <v>156</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23</v>
      </c>
    </row>
    <row r="45" customFormat="false" ht="24" hidden="false" customHeight="true" outlineLevel="0" collapsed="false">
      <c r="A45" s="417" t="s">
        <v>155</v>
      </c>
      <c r="B45" s="417" t="s">
        <v>156</v>
      </c>
      <c r="C45" s="417" t="s">
        <v>157</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4" hidden="false" customHeight="true" outlineLevel="0" collapsed="false">
      <c r="A46" s="417" t="s">
        <v>155</v>
      </c>
      <c r="B46" s="417" t="s">
        <v>156</v>
      </c>
      <c r="C46" s="417" t="s">
        <v>157</v>
      </c>
      <c r="D46" s="417" t="s">
        <v>158</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23</v>
      </c>
    </row>
    <row r="47" customFormat="false" ht="49.5" hidden="false" customHeight="true" outlineLevel="0" collapsed="false">
      <c r="A47" s="417" t="s">
        <v>155</v>
      </c>
      <c r="B47" s="417" t="s">
        <v>156</v>
      </c>
      <c r="C47" s="417" t="s">
        <v>157</v>
      </c>
      <c r="D47" s="417" t="s">
        <v>158</v>
      </c>
      <c r="E47" s="418"/>
      <c r="F47" s="418"/>
      <c r="G47" s="418"/>
      <c r="H47" s="418"/>
      <c r="I47" s="434" t="str">
        <f aca="false">S46&amp;".1"</f>
        <v>....1</v>
      </c>
      <c r="J47" s="417"/>
      <c r="K47" s="417"/>
      <c r="L47" s="419" t="s">
        <v>400</v>
      </c>
      <c r="P47" s="125" t="n">
        <v>1</v>
      </c>
      <c r="Q47" s="125"/>
      <c r="R47" s="435"/>
      <c r="S47" s="422" t="str">
        <f aca="false">$I47</f>
        <v>....1</v>
      </c>
      <c r="T47" s="436" t="s">
        <v>401</v>
      </c>
      <c r="U47" s="424"/>
      <c r="V47" s="437"/>
      <c r="W47" s="437"/>
      <c r="X47" s="437"/>
      <c r="Y47" s="437"/>
      <c r="Z47" s="437"/>
      <c r="AA47" s="437"/>
      <c r="AB47" s="437"/>
      <c r="AC47" s="437"/>
      <c r="AD47" s="437"/>
      <c r="AE47" s="437"/>
      <c r="AF47" s="437"/>
      <c r="AG47" s="437"/>
      <c r="AH47" s="437"/>
      <c r="AI47" s="437"/>
      <c r="AJ47" s="437"/>
      <c r="AK47" s="437"/>
      <c r="AL47" s="437"/>
      <c r="AM47" s="427" t="s">
        <v>402</v>
      </c>
      <c r="AO47" s="122"/>
      <c r="AP47" s="122" t="str">
        <f aca="false">IF(T47="","",T47)</f>
        <v>Схема подключения теплопотребляющей установки к коллектору источника тепловой энергии</v>
      </c>
      <c r="AQ47" s="122"/>
      <c r="AR47" s="122"/>
      <c r="AS47" s="42" t="n">
        <v>47</v>
      </c>
    </row>
    <row r="48" customFormat="false" ht="24" hidden="false" customHeight="true" outlineLevel="0" collapsed="false">
      <c r="A48" s="417" t="s">
        <v>155</v>
      </c>
      <c r="B48" s="417" t="s">
        <v>156</v>
      </c>
      <c r="C48" s="417" t="s">
        <v>157</v>
      </c>
      <c r="D48" s="417" t="s">
        <v>158</v>
      </c>
      <c r="E48" s="418"/>
      <c r="F48" s="418"/>
      <c r="G48" s="418"/>
      <c r="H48" s="418"/>
      <c r="I48" s="434"/>
      <c r="J48" s="434" t="str">
        <f aca="false">I47&amp;".1"</f>
        <v>....1.1</v>
      </c>
      <c r="K48" s="417"/>
      <c r="L48" s="419" t="s">
        <v>403</v>
      </c>
      <c r="P48" s="125"/>
      <c r="Q48" s="125" t="n">
        <v>1</v>
      </c>
      <c r="R48" s="438"/>
      <c r="S48" s="422" t="str">
        <f aca="false">$J48</f>
        <v>....1.1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23</v>
      </c>
    </row>
    <row r="49" customFormat="false" ht="24" hidden="false" customHeight="true" outlineLevel="0" collapsed="false">
      <c r="A49" s="417" t="s">
        <v>155</v>
      </c>
      <c r="B49" s="417" t="s">
        <v>156</v>
      </c>
      <c r="C49" s="417" t="s">
        <v>157</v>
      </c>
      <c r="D49" s="417" t="s">
        <v>158</v>
      </c>
      <c r="E49" s="418"/>
      <c r="F49" s="418"/>
      <c r="G49" s="418"/>
      <c r="H49" s="418"/>
      <c r="I49" s="434"/>
      <c r="J49" s="434"/>
      <c r="K49" s="434" t="str">
        <f aca="false">J48&amp;".1"</f>
        <v>....1.1.1</v>
      </c>
      <c r="L49" s="419" t="s">
        <v>406</v>
      </c>
      <c r="P49" s="125"/>
      <c r="Q49" s="125"/>
      <c r="R49" s="438" t="n">
        <v>1</v>
      </c>
      <c r="S49" s="422" t="str">
        <f aca="false">$K49</f>
        <v>....1.1.1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407</v>
      </c>
      <c r="AN49" s="49" t="e">
        <f aca="false">strcheckdate(V50:AL50)</f>
        <v>#NAME?</v>
      </c>
      <c r="AO49" s="122"/>
      <c r="AP49" s="122" t="str">
        <f aca="false">IF(T49="","",T49)</f>
        <v/>
      </c>
      <c r="AQ49" s="122"/>
      <c r="AR49" s="122"/>
      <c r="AS49" s="42" t="n">
        <v>23</v>
      </c>
    </row>
    <row r="50" customFormat="false" ht="0.75" hidden="false" customHeight="true" outlineLevel="0" collapsed="false">
      <c r="A50" s="417" t="s">
        <v>155</v>
      </c>
      <c r="B50" s="417" t="s">
        <v>156</v>
      </c>
      <c r="C50" s="417" t="s">
        <v>157</v>
      </c>
      <c r="D50" s="417" t="s">
        <v>158</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417" t="s">
        <v>155</v>
      </c>
      <c r="B51" s="417" t="s">
        <v>156</v>
      </c>
      <c r="C51" s="417" t="s">
        <v>157</v>
      </c>
      <c r="D51" s="417" t="s">
        <v>158</v>
      </c>
      <c r="E51" s="418"/>
      <c r="F51" s="418"/>
      <c r="G51" s="418"/>
      <c r="H51" s="418"/>
      <c r="I51" s="434"/>
      <c r="J51" s="434"/>
      <c r="K51" s="417"/>
      <c r="L51" s="419"/>
      <c r="P51" s="125"/>
      <c r="Q51" s="125"/>
      <c r="R51" s="435"/>
      <c r="S51" s="447"/>
      <c r="T51" s="448"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155</v>
      </c>
      <c r="B52" s="417" t="s">
        <v>156</v>
      </c>
      <c r="C52" s="417" t="s">
        <v>157</v>
      </c>
      <c r="D52" s="417" t="s">
        <v>158</v>
      </c>
      <c r="E52" s="418"/>
      <c r="F52" s="418"/>
      <c r="G52" s="418"/>
      <c r="H52" s="418"/>
      <c r="I52" s="434"/>
      <c r="J52" s="417"/>
      <c r="K52" s="417"/>
      <c r="L52" s="419"/>
      <c r="P52" s="125"/>
      <c r="Q52" s="125"/>
      <c r="R52" s="435"/>
      <c r="S52" s="447"/>
      <c r="T52" s="450"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25" hidden="false" customHeight="true" outlineLevel="0" collapsed="false">
      <c r="A53" s="417" t="s">
        <v>155</v>
      </c>
      <c r="B53" s="417" t="s">
        <v>156</v>
      </c>
      <c r="C53" s="417" t="s">
        <v>157</v>
      </c>
      <c r="D53" s="417" t="s">
        <v>158</v>
      </c>
      <c r="E53" s="418"/>
      <c r="F53" s="418"/>
      <c r="G53" s="418"/>
      <c r="H53" s="418"/>
      <c r="I53" s="417"/>
      <c r="J53" s="417"/>
      <c r="K53" s="417"/>
      <c r="L53" s="419"/>
      <c r="M53" s="420"/>
      <c r="N53" s="420"/>
      <c r="O53" s="45"/>
      <c r="P53" s="136"/>
      <c r="Q53" s="453"/>
      <c r="R53" s="421"/>
      <c r="S53" s="447"/>
      <c r="T53" s="454" t="s">
        <v>410</v>
      </c>
      <c r="U53" s="196"/>
      <c r="V53" s="196"/>
      <c r="W53" s="196"/>
      <c r="X53" s="196"/>
      <c r="Y53" s="196"/>
      <c r="Z53" s="196"/>
      <c r="AA53" s="196"/>
      <c r="AB53" s="196"/>
      <c r="AC53" s="451"/>
      <c r="AD53" s="196"/>
      <c r="AE53" s="196"/>
      <c r="AF53" s="196"/>
      <c r="AG53" s="196"/>
      <c r="AH53" s="196"/>
      <c r="AI53" s="196"/>
      <c r="AJ53" s="196"/>
      <c r="AK53" s="451"/>
      <c r="AL53" s="196"/>
      <c r="AM53" s="452"/>
      <c r="AO53" s="122"/>
      <c r="AP53" s="122" t="str">
        <f aca="false">IF(T53="","",T53)</f>
        <v>Добавить схему подключения</v>
      </c>
      <c r="AQ53" s="122"/>
      <c r="AR53" s="122"/>
      <c r="AS53" s="42" t="n">
        <v>14</v>
      </c>
    </row>
    <row r="54" s="49" customFormat="true" ht="0.75" hidden="false" customHeight="true" outlineLevel="0" collapsed="false">
      <c r="A54" s="126" t="s">
        <v>155</v>
      </c>
      <c r="B54" s="126" t="s">
        <v>156</v>
      </c>
      <c r="C54" s="126" t="s">
        <v>157</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126" t="s">
        <v>155</v>
      </c>
      <c r="B55" s="126" t="s">
        <v>156</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126" t="s">
        <v>155</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27</v>
      </c>
    </row>
    <row r="60" customFormat="false" ht="66.75"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64</v>
      </c>
    </row>
    <row r="61" customFormat="false" ht="14.25" hidden="false" customHeight="true" outlineLevel="0" collapsed="false">
      <c r="O61" s="45"/>
      <c r="AS61" s="42" t="n">
        <v>14</v>
      </c>
    </row>
    <row r="62" customFormat="false" ht="18.75" hidden="false" customHeight="true" outlineLevel="0" collapsed="false">
      <c r="O62" s="45"/>
      <c r="S62" s="414"/>
      <c r="T62" s="495"/>
      <c r="U62" s="495"/>
      <c r="V62" s="495"/>
      <c r="W62" s="495"/>
      <c r="X62" s="495"/>
      <c r="Y62" s="495"/>
      <c r="Z62" s="495"/>
      <c r="AA62" s="495"/>
      <c r="AB62" s="495"/>
      <c r="AC62" s="495"/>
      <c r="AD62" s="495"/>
      <c r="AE62" s="495"/>
      <c r="AF62" s="495"/>
      <c r="AG62" s="495"/>
      <c r="AH62" s="495"/>
      <c r="AI62" s="495"/>
      <c r="AJ62" s="495"/>
      <c r="AK62" s="495"/>
      <c r="AL62" s="495"/>
      <c r="AM62" s="495"/>
      <c r="AS62" s="42" t="n">
        <v>18</v>
      </c>
    </row>
    <row r="63" customFormat="false" ht="18.75" hidden="false" customHeight="true" outlineLevel="0" collapsed="false">
      <c r="O63" s="45"/>
      <c r="T63" s="495"/>
      <c r="U63" s="495"/>
      <c r="V63" s="495"/>
      <c r="W63" s="495"/>
      <c r="X63" s="495"/>
      <c r="Y63" s="495"/>
      <c r="Z63" s="495"/>
      <c r="AA63" s="495"/>
      <c r="AB63" s="495"/>
      <c r="AC63" s="495"/>
      <c r="AD63" s="495"/>
      <c r="AE63" s="495"/>
      <c r="AF63" s="495"/>
      <c r="AG63" s="495"/>
      <c r="AH63" s="495"/>
      <c r="AI63" s="495"/>
      <c r="AJ63" s="495"/>
      <c r="AK63" s="495"/>
      <c r="AL63" s="495"/>
      <c r="AM63" s="495"/>
      <c r="AS63" s="42" t="n">
        <v>18</v>
      </c>
    </row>
    <row r="64" customFormat="false" ht="29.25" hidden="false" customHeight="true" outlineLevel="0" collapsed="false">
      <c r="O64" s="45"/>
      <c r="S64" s="414"/>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22.5" hidden="true" customHeight="true" outlineLevel="0" collapsed="false">
      <c r="A65" s="45" t="s">
        <v>80</v>
      </c>
      <c r="B65" s="45" t="n">
        <v>0</v>
      </c>
      <c r="C65" s="45" t="n">
        <v>0</v>
      </c>
      <c r="D65" s="45" t="n">
        <v>0</v>
      </c>
      <c r="E65" s="45" t="n">
        <v>0</v>
      </c>
      <c r="F65" s="45" t="n">
        <v>0</v>
      </c>
      <c r="G65" s="45" t="n">
        <v>0</v>
      </c>
      <c r="H65" s="45" t="n">
        <v>0</v>
      </c>
      <c r="I65" s="45" t="n">
        <v>0</v>
      </c>
      <c r="J65" s="45" t="n">
        <v>0</v>
      </c>
      <c r="K65" s="45" t="n">
        <v>0</v>
      </c>
      <c r="L65" s="107" t="n">
        <v>0</v>
      </c>
      <c r="M65" s="53" t="n">
        <v>0</v>
      </c>
      <c r="N65" s="53" t="n">
        <v>0</v>
      </c>
      <c r="O65" s="53" t="n">
        <v>0</v>
      </c>
      <c r="P65" s="52" t="n">
        <v>3</v>
      </c>
      <c r="Q65" s="416" t="n">
        <v>3</v>
      </c>
      <c r="R65" s="416" t="n">
        <v>3</v>
      </c>
      <c r="S65" s="77" t="n">
        <v>12</v>
      </c>
      <c r="T65" s="42" t="n">
        <v>35</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9" t="n">
        <v>10</v>
      </c>
      <c r="AO65" s="49" t="n">
        <v>10</v>
      </c>
      <c r="AP65" s="49" t="n">
        <v>10</v>
      </c>
      <c r="AQ65" s="49" t="n">
        <v>10</v>
      </c>
      <c r="AR65" s="49"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47.25" hidden="true" customHeight="true" outlineLevel="0" collapsed="false">
      <c r="A6" s="417"/>
      <c r="B6" s="417"/>
      <c r="C6" s="417"/>
      <c r="D6" s="417"/>
      <c r="E6" s="418"/>
      <c r="F6" s="418"/>
      <c r="G6" s="418"/>
      <c r="H6" s="418"/>
      <c r="I6" s="434" t="e">
        <f aca="false">S5&amp;".1"</f>
        <v>#N/A</v>
      </c>
      <c r="J6" s="417"/>
      <c r="K6" s="417"/>
      <c r="L6" s="419" t="s">
        <v>400</v>
      </c>
      <c r="M6" s="45"/>
      <c r="P6" s="125" t="n">
        <v>1</v>
      </c>
      <c r="Q6" s="125"/>
      <c r="R6" s="435"/>
      <c r="S6" s="422" t="e">
        <f aca="false">$I6</f>
        <v>#N/A</v>
      </c>
      <c r="T6" s="436" t="s">
        <v>401</v>
      </c>
      <c r="U6" s="424"/>
      <c r="V6" s="437"/>
      <c r="W6" s="437"/>
      <c r="X6" s="437"/>
      <c r="Y6" s="437"/>
      <c r="Z6" s="437"/>
      <c r="AA6" s="437"/>
      <c r="AB6" s="437"/>
      <c r="AC6" s="437"/>
      <c r="AD6" s="437"/>
      <c r="AE6" s="437"/>
      <c r="AF6" s="437"/>
      <c r="AG6" s="437"/>
      <c r="AH6" s="437"/>
      <c r="AI6" s="437"/>
      <c r="AJ6" s="437"/>
      <c r="AK6" s="437"/>
      <c r="AL6" s="437"/>
      <c r="AM6" s="427" t="s">
        <v>402</v>
      </c>
      <c r="AO6" s="122"/>
      <c r="AP6" s="122" t="str">
        <f aca="false">IF(T6="","",T6)</f>
        <v>Схема подключения теплопотребляющей установки к коллектору источника тепловой энергии</v>
      </c>
      <c r="AQ6" s="122"/>
      <c r="AR6" s="122"/>
      <c r="AS6" s="42" t="n">
        <v>0</v>
      </c>
    </row>
    <row r="7" customFormat="false" ht="21"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48"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417"/>
      <c r="B11" s="417"/>
      <c r="C11" s="417"/>
      <c r="D11" s="417"/>
      <c r="E11" s="418"/>
      <c r="F11" s="418"/>
      <c r="G11" s="418"/>
      <c r="H11" s="418"/>
      <c r="I11" s="434"/>
      <c r="J11" s="417"/>
      <c r="K11" s="417"/>
      <c r="L11" s="419"/>
      <c r="M11" s="45"/>
      <c r="P11" s="125"/>
      <c r="Q11" s="125"/>
      <c r="R11" s="435"/>
      <c r="S11" s="447"/>
      <c r="T11" s="450"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447"/>
      <c r="T12" s="454" t="s">
        <v>410</v>
      </c>
      <c r="U12" s="196"/>
      <c r="V12" s="196"/>
      <c r="W12" s="196"/>
      <c r="X12" s="196"/>
      <c r="Y12" s="196"/>
      <c r="Z12" s="196"/>
      <c r="AA12" s="196"/>
      <c r="AB12" s="196"/>
      <c r="AC12" s="451"/>
      <c r="AD12" s="196"/>
      <c r="AE12" s="196"/>
      <c r="AF12" s="196"/>
      <c r="AG12" s="196"/>
      <c r="AH12" s="196"/>
      <c r="AI12" s="196"/>
      <c r="AJ12" s="196"/>
      <c r="AK12" s="451"/>
      <c r="AL12" s="196"/>
      <c r="AM12" s="452"/>
      <c r="AO12" s="122"/>
      <c r="AP12" s="122" t="str">
        <f aca="false">IF(T12="","",T12)</f>
        <v>Добавить схему подключения</v>
      </c>
      <c r="AQ12" s="122"/>
      <c r="AR12" s="122"/>
      <c r="AS12" s="42" t="n">
        <v>0</v>
      </c>
    </row>
    <row r="13" s="49" customFormat="true" ht="0.7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14.2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14.25" hidden="false" customHeight="true" outlineLevel="0" collapsed="false">
      <c r="Q26" s="470"/>
      <c r="R26" s="470"/>
      <c r="S26" s="215"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5"/>
      <c r="U26" s="215"/>
      <c r="V26" s="215"/>
      <c r="W26" s="215"/>
      <c r="X26" s="215"/>
      <c r="Y26" s="215"/>
      <c r="Z26" s="215"/>
      <c r="AA26" s="215"/>
      <c r="AB26" s="215"/>
      <c r="AC26" s="215"/>
      <c r="AD26" s="215"/>
      <c r="AE26" s="215"/>
      <c r="AF26" s="215"/>
      <c r="AG26" s="215"/>
      <c r="AH26" s="215"/>
      <c r="AI26" s="215"/>
      <c r="AJ26" s="215"/>
      <c r="AK26" s="217"/>
      <c r="AS26" s="42" t="n">
        <v>14</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t="s">
        <v>431</v>
      </c>
      <c r="X40" s="138" t="s">
        <v>432</v>
      </c>
      <c r="Y40" s="138"/>
      <c r="Z40" s="138" t="s">
        <v>446</v>
      </c>
      <c r="AA40" s="138"/>
      <c r="AB40" s="138"/>
      <c r="AC40" s="395"/>
      <c r="AD40" s="484" t="s">
        <v>430</v>
      </c>
      <c r="AE40" s="434" t="s">
        <v>431</v>
      </c>
      <c r="AF40" s="138" t="s">
        <v>432</v>
      </c>
      <c r="AG40" s="138"/>
      <c r="AH40" s="138" t="s">
        <v>433</v>
      </c>
      <c r="AI40" s="138"/>
      <c r="AJ40" s="138"/>
      <c r="AK40" s="395"/>
      <c r="AL40" s="482"/>
      <c r="AM40" s="138"/>
      <c r="AS40" s="42" t="n">
        <v>34</v>
      </c>
    </row>
    <row r="41" customFormat="false" ht="35.25"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417" t="s">
        <v>160</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417" t="s">
        <v>160</v>
      </c>
      <c r="B44" s="417" t="s">
        <v>161</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417" t="s">
        <v>160</v>
      </c>
      <c r="B45" s="417" t="s">
        <v>161</v>
      </c>
      <c r="C45" s="417" t="s">
        <v>162</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417" t="s">
        <v>160</v>
      </c>
      <c r="B46" s="417" t="s">
        <v>161</v>
      </c>
      <c r="C46" s="417" t="s">
        <v>162</v>
      </c>
      <c r="D46" s="417" t="s">
        <v>163</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customFormat="false" ht="49.5" hidden="false" customHeight="true" outlineLevel="0" collapsed="false">
      <c r="A47" s="417" t="s">
        <v>160</v>
      </c>
      <c r="B47" s="417" t="s">
        <v>161</v>
      </c>
      <c r="C47" s="417" t="s">
        <v>162</v>
      </c>
      <c r="D47" s="417" t="s">
        <v>163</v>
      </c>
      <c r="E47" s="418"/>
      <c r="F47" s="418"/>
      <c r="G47" s="418"/>
      <c r="H47" s="418"/>
      <c r="I47" s="434" t="str">
        <f aca="false">S46&amp;".1"</f>
        <v>....1</v>
      </c>
      <c r="J47" s="417"/>
      <c r="K47" s="417"/>
      <c r="L47" s="419" t="s">
        <v>400</v>
      </c>
      <c r="P47" s="125" t="n">
        <v>1</v>
      </c>
      <c r="Q47" s="125"/>
      <c r="R47" s="435"/>
      <c r="S47" s="422" t="str">
        <f aca="false">$I47</f>
        <v>....1</v>
      </c>
      <c r="T47" s="436" t="s">
        <v>401</v>
      </c>
      <c r="U47" s="424"/>
      <c r="V47" s="437"/>
      <c r="W47" s="437"/>
      <c r="X47" s="437"/>
      <c r="Y47" s="437"/>
      <c r="Z47" s="437"/>
      <c r="AA47" s="437"/>
      <c r="AB47" s="437"/>
      <c r="AC47" s="437"/>
      <c r="AD47" s="437"/>
      <c r="AE47" s="437"/>
      <c r="AF47" s="437"/>
      <c r="AG47" s="437"/>
      <c r="AH47" s="437"/>
      <c r="AI47" s="437"/>
      <c r="AJ47" s="437"/>
      <c r="AK47" s="437"/>
      <c r="AL47" s="437"/>
      <c r="AM47" s="427" t="s">
        <v>402</v>
      </c>
      <c r="AO47" s="122"/>
      <c r="AP47" s="122" t="str">
        <f aca="false">IF(T47="","",T47)</f>
        <v>Схема подключения теплопотребляющей установки к коллектору источника тепловой энергии</v>
      </c>
      <c r="AQ47" s="122"/>
      <c r="AR47" s="122"/>
      <c r="AS47" s="42" t="n">
        <v>47</v>
      </c>
    </row>
    <row r="48" customFormat="false" ht="21.75" hidden="false" customHeight="true" outlineLevel="0" collapsed="false">
      <c r="A48" s="417" t="s">
        <v>160</v>
      </c>
      <c r="B48" s="417" t="s">
        <v>161</v>
      </c>
      <c r="C48" s="417" t="s">
        <v>162</v>
      </c>
      <c r="D48" s="417" t="s">
        <v>163</v>
      </c>
      <c r="E48" s="418"/>
      <c r="F48" s="418"/>
      <c r="G48" s="418"/>
      <c r="H48" s="418"/>
      <c r="I48" s="434"/>
      <c r="J48" s="434" t="str">
        <f aca="false">I47&amp;".1"</f>
        <v>....1.1</v>
      </c>
      <c r="K48" s="417"/>
      <c r="L48" s="419" t="s">
        <v>403</v>
      </c>
      <c r="P48" s="125"/>
      <c r="Q48" s="125" t="n">
        <v>1</v>
      </c>
      <c r="R48" s="438"/>
      <c r="S48" s="422" t="str">
        <f aca="false">$J48</f>
        <v>....1.1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417" t="s">
        <v>160</v>
      </c>
      <c r="B49" s="417" t="s">
        <v>161</v>
      </c>
      <c r="C49" s="417" t="s">
        <v>162</v>
      </c>
      <c r="D49" s="417" t="s">
        <v>163</v>
      </c>
      <c r="E49" s="418"/>
      <c r="F49" s="418"/>
      <c r="G49" s="418"/>
      <c r="H49" s="418"/>
      <c r="I49" s="434"/>
      <c r="J49" s="434"/>
      <c r="K49" s="434" t="str">
        <f aca="false">J48&amp;".1"</f>
        <v>....1.1.1</v>
      </c>
      <c r="L49" s="419" t="s">
        <v>406</v>
      </c>
      <c r="P49" s="125"/>
      <c r="Q49" s="125"/>
      <c r="R49" s="438" t="n">
        <v>1</v>
      </c>
      <c r="S49" s="422" t="str">
        <f aca="false">$K49</f>
        <v>....1.1.1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407</v>
      </c>
      <c r="AN49" s="49" t="e">
        <f aca="false">strcheckdate(V50:AL50)</f>
        <v>#NAME?</v>
      </c>
      <c r="AO49" s="122"/>
      <c r="AP49" s="122" t="str">
        <f aca="false">IF(T49="","",T49)</f>
        <v/>
      </c>
      <c r="AQ49" s="122"/>
      <c r="AR49" s="122"/>
      <c r="AS49" s="42" t="n">
        <v>21</v>
      </c>
    </row>
    <row r="50" customFormat="false" ht="0.75" hidden="false" customHeight="true" outlineLevel="0" collapsed="false">
      <c r="A50" s="417" t="s">
        <v>160</v>
      </c>
      <c r="B50" s="417" t="s">
        <v>161</v>
      </c>
      <c r="C50" s="417" t="s">
        <v>162</v>
      </c>
      <c r="D50" s="417" t="s">
        <v>163</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417" t="s">
        <v>160</v>
      </c>
      <c r="B51" s="417" t="s">
        <v>161</v>
      </c>
      <c r="C51" s="417" t="s">
        <v>162</v>
      </c>
      <c r="D51" s="417" t="s">
        <v>163</v>
      </c>
      <c r="E51" s="418"/>
      <c r="F51" s="418"/>
      <c r="G51" s="418"/>
      <c r="H51" s="418"/>
      <c r="I51" s="434"/>
      <c r="J51" s="434"/>
      <c r="K51" s="417"/>
      <c r="L51" s="419"/>
      <c r="P51" s="125"/>
      <c r="Q51" s="125"/>
      <c r="R51" s="435"/>
      <c r="S51" s="447"/>
      <c r="T51" s="448"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160</v>
      </c>
      <c r="B52" s="417" t="s">
        <v>161</v>
      </c>
      <c r="C52" s="417" t="s">
        <v>162</v>
      </c>
      <c r="D52" s="417" t="s">
        <v>163</v>
      </c>
      <c r="E52" s="418"/>
      <c r="F52" s="418"/>
      <c r="G52" s="418"/>
      <c r="H52" s="418"/>
      <c r="I52" s="434"/>
      <c r="J52" s="417"/>
      <c r="K52" s="417"/>
      <c r="L52" s="419"/>
      <c r="P52" s="125"/>
      <c r="Q52" s="125"/>
      <c r="R52" s="435"/>
      <c r="S52" s="447"/>
      <c r="T52" s="450"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25" hidden="false" customHeight="true" outlineLevel="0" collapsed="false">
      <c r="A53" s="417" t="s">
        <v>160</v>
      </c>
      <c r="B53" s="417" t="s">
        <v>161</v>
      </c>
      <c r="C53" s="417" t="s">
        <v>162</v>
      </c>
      <c r="D53" s="417" t="s">
        <v>163</v>
      </c>
      <c r="E53" s="418"/>
      <c r="F53" s="418"/>
      <c r="G53" s="418"/>
      <c r="H53" s="418"/>
      <c r="I53" s="417"/>
      <c r="J53" s="417"/>
      <c r="K53" s="417"/>
      <c r="L53" s="419"/>
      <c r="M53" s="420"/>
      <c r="N53" s="420"/>
      <c r="O53" s="45"/>
      <c r="P53" s="136"/>
      <c r="Q53" s="453"/>
      <c r="R53" s="421"/>
      <c r="S53" s="447"/>
      <c r="T53" s="454" t="s">
        <v>410</v>
      </c>
      <c r="U53" s="196"/>
      <c r="V53" s="196"/>
      <c r="W53" s="196"/>
      <c r="X53" s="196"/>
      <c r="Y53" s="196"/>
      <c r="Z53" s="196"/>
      <c r="AA53" s="196"/>
      <c r="AB53" s="196"/>
      <c r="AC53" s="451"/>
      <c r="AD53" s="196"/>
      <c r="AE53" s="196"/>
      <c r="AF53" s="196"/>
      <c r="AG53" s="196"/>
      <c r="AH53" s="196"/>
      <c r="AI53" s="196"/>
      <c r="AJ53" s="196"/>
      <c r="AK53" s="451"/>
      <c r="AL53" s="196"/>
      <c r="AM53" s="452"/>
      <c r="AO53" s="122"/>
      <c r="AP53" s="122" t="str">
        <f aca="false">IF(T53="","",T53)</f>
        <v>Добавить схему подключения</v>
      </c>
      <c r="AQ53" s="122"/>
      <c r="AR53" s="122"/>
      <c r="AS53" s="42" t="n">
        <v>14</v>
      </c>
    </row>
    <row r="54" s="49" customFormat="true" ht="0.75" hidden="false" customHeight="true" outlineLevel="0" collapsed="false">
      <c r="A54" s="126" t="s">
        <v>160</v>
      </c>
      <c r="B54" s="126" t="s">
        <v>161</v>
      </c>
      <c r="C54" s="126" t="s">
        <v>162</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126" t="s">
        <v>160</v>
      </c>
      <c r="B55" s="126" t="s">
        <v>161</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126" t="s">
        <v>160</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27</v>
      </c>
    </row>
    <row r="60" customFormat="false" ht="65.25"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62</v>
      </c>
    </row>
    <row r="61" customFormat="false" ht="14.25" hidden="false" customHeight="true" outlineLevel="0" collapsed="false">
      <c r="O61" s="45"/>
      <c r="AS61" s="42" t="n">
        <v>14</v>
      </c>
    </row>
    <row r="62" customFormat="false" ht="18.75" hidden="false" customHeight="true" outlineLevel="0" collapsed="false">
      <c r="O62" s="45"/>
      <c r="S62" s="414"/>
      <c r="T62" s="495"/>
      <c r="U62" s="495"/>
      <c r="V62" s="495"/>
      <c r="W62" s="495"/>
      <c r="X62" s="495"/>
      <c r="Y62" s="495"/>
      <c r="Z62" s="495"/>
      <c r="AA62" s="495"/>
      <c r="AB62" s="495"/>
      <c r="AC62" s="495"/>
      <c r="AD62" s="495"/>
      <c r="AE62" s="495"/>
      <c r="AF62" s="495"/>
      <c r="AG62" s="495"/>
      <c r="AH62" s="495"/>
      <c r="AI62" s="495"/>
      <c r="AJ62" s="495"/>
      <c r="AK62" s="495"/>
      <c r="AL62" s="495"/>
      <c r="AM62" s="495"/>
      <c r="AS62" s="42" t="n">
        <v>18</v>
      </c>
    </row>
    <row r="63" customFormat="false" ht="18.75" hidden="false" customHeight="true" outlineLevel="0" collapsed="false">
      <c r="O63" s="45"/>
      <c r="T63" s="495"/>
      <c r="U63" s="495"/>
      <c r="V63" s="495"/>
      <c r="W63" s="495"/>
      <c r="X63" s="495"/>
      <c r="Y63" s="495"/>
      <c r="Z63" s="495"/>
      <c r="AA63" s="495"/>
      <c r="AB63" s="495"/>
      <c r="AC63" s="495"/>
      <c r="AD63" s="495"/>
      <c r="AE63" s="495"/>
      <c r="AF63" s="495"/>
      <c r="AG63" s="495"/>
      <c r="AH63" s="495"/>
      <c r="AI63" s="495"/>
      <c r="AJ63" s="495"/>
      <c r="AK63" s="495"/>
      <c r="AL63" s="495"/>
      <c r="AM63" s="495"/>
      <c r="AS63" s="42" t="n">
        <v>18</v>
      </c>
    </row>
    <row r="64" customFormat="false" ht="29.25" hidden="false" customHeight="true" outlineLevel="0" collapsed="false">
      <c r="O64" s="45"/>
      <c r="S64" s="414"/>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22.5" hidden="true" customHeight="true" outlineLevel="0" collapsed="false">
      <c r="A65" s="45" t="s">
        <v>80</v>
      </c>
      <c r="B65" s="45" t="n">
        <v>0</v>
      </c>
      <c r="C65" s="45" t="n">
        <v>0</v>
      </c>
      <c r="D65" s="45" t="n">
        <v>0</v>
      </c>
      <c r="E65" s="45" t="n">
        <v>0</v>
      </c>
      <c r="F65" s="45" t="n">
        <v>0</v>
      </c>
      <c r="G65" s="45" t="n">
        <v>0</v>
      </c>
      <c r="H65" s="45" t="n">
        <v>0</v>
      </c>
      <c r="I65" s="45" t="n">
        <v>0</v>
      </c>
      <c r="J65" s="45" t="n">
        <v>0</v>
      </c>
      <c r="K65" s="45" t="n">
        <v>0</v>
      </c>
      <c r="L65" s="107" t="n">
        <v>0</v>
      </c>
      <c r="M65" s="53" t="n">
        <v>0</v>
      </c>
      <c r="N65" s="53" t="n">
        <v>0</v>
      </c>
      <c r="O65" s="53" t="n">
        <v>0</v>
      </c>
      <c r="P65" s="52" t="n">
        <v>3</v>
      </c>
      <c r="Q65" s="416" t="n">
        <v>3</v>
      </c>
      <c r="R65" s="416" t="n">
        <v>3</v>
      </c>
      <c r="S65" s="77"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9" t="n">
        <v>10</v>
      </c>
      <c r="AO65" s="49" t="n">
        <v>10</v>
      </c>
      <c r="AP65" s="49" t="n">
        <v>10</v>
      </c>
      <c r="AQ65" s="49" t="n">
        <v>10</v>
      </c>
      <c r="AR65" s="49"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5"/>
    <col collapsed="false" customWidth="true" hidden="true" outlineLevel="0" max="11" min="11" style="42" width="11.43"/>
    <col collapsed="false" customWidth="true" hidden="true" outlineLevel="0" max="12" min="12" style="43" width="19.14"/>
    <col collapsed="false" customWidth="true" hidden="true" outlineLevel="0" max="14" min="13" style="52" width="12.28"/>
    <col collapsed="false" customWidth="true" hidden="true" outlineLevel="0" max="15" min="15" style="52"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238"/>
      <c r="B2" s="238"/>
      <c r="C2" s="238"/>
      <c r="D2" s="238"/>
      <c r="E2" s="496" t="n">
        <v>1</v>
      </c>
      <c r="F2" s="238"/>
      <c r="G2" s="238"/>
      <c r="H2" s="238"/>
      <c r="I2" s="238"/>
      <c r="J2" s="238"/>
      <c r="K2" s="238"/>
      <c r="L2" s="497"/>
      <c r="M2" s="77"/>
      <c r="N2" s="77"/>
      <c r="O2" s="77"/>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238"/>
      <c r="B3" s="238"/>
      <c r="C3" s="238"/>
      <c r="D3" s="238"/>
      <c r="E3" s="496"/>
      <c r="F3" s="496" t="n">
        <v>1</v>
      </c>
      <c r="G3" s="238"/>
      <c r="H3" s="238"/>
      <c r="I3" s="238"/>
      <c r="J3" s="238"/>
      <c r="K3" s="238"/>
      <c r="L3" s="497"/>
      <c r="M3" s="77"/>
      <c r="N3" s="77"/>
      <c r="O3" s="77"/>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238"/>
      <c r="B4" s="238"/>
      <c r="C4" s="238"/>
      <c r="D4" s="238"/>
      <c r="E4" s="496"/>
      <c r="F4" s="496"/>
      <c r="G4" s="496" t="n">
        <v>1</v>
      </c>
      <c r="H4" s="238"/>
      <c r="I4" s="238"/>
      <c r="J4" s="238"/>
      <c r="K4" s="238"/>
      <c r="L4" s="497"/>
      <c r="M4" s="77"/>
      <c r="N4" s="77"/>
      <c r="O4" s="77"/>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238"/>
      <c r="B5" s="238"/>
      <c r="C5" s="238"/>
      <c r="D5" s="238"/>
      <c r="E5" s="496"/>
      <c r="F5" s="496"/>
      <c r="G5" s="496"/>
      <c r="H5" s="496" t="n">
        <v>1</v>
      </c>
      <c r="I5" s="238"/>
      <c r="J5" s="238"/>
      <c r="K5" s="238"/>
      <c r="L5" s="497"/>
      <c r="M5" s="77"/>
      <c r="N5" s="77"/>
      <c r="O5" s="77"/>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47.25" hidden="true" customHeight="true" outlineLevel="0" collapsed="false">
      <c r="A6" s="238"/>
      <c r="B6" s="238"/>
      <c r="C6" s="238"/>
      <c r="D6" s="238"/>
      <c r="E6" s="496"/>
      <c r="F6" s="496"/>
      <c r="G6" s="496"/>
      <c r="H6" s="496"/>
      <c r="I6" s="150" t="e">
        <f aca="false">S5&amp;".1"</f>
        <v>#N/A</v>
      </c>
      <c r="J6" s="238"/>
      <c r="K6" s="238"/>
      <c r="L6" s="497" t="s">
        <v>400</v>
      </c>
      <c r="M6" s="42"/>
      <c r="P6" s="125" t="n">
        <v>1</v>
      </c>
      <c r="Q6" s="125"/>
      <c r="R6" s="435"/>
      <c r="S6" s="422" t="e">
        <f aca="false">$I6</f>
        <v>#N/A</v>
      </c>
      <c r="T6" s="436" t="s">
        <v>401</v>
      </c>
      <c r="U6" s="424"/>
      <c r="V6" s="437"/>
      <c r="W6" s="437"/>
      <c r="X6" s="437"/>
      <c r="Y6" s="437"/>
      <c r="Z6" s="437"/>
      <c r="AA6" s="437"/>
      <c r="AB6" s="437"/>
      <c r="AC6" s="437"/>
      <c r="AD6" s="437"/>
      <c r="AE6" s="437"/>
      <c r="AF6" s="437"/>
      <c r="AG6" s="437"/>
      <c r="AH6" s="437"/>
      <c r="AI6" s="437"/>
      <c r="AJ6" s="437"/>
      <c r="AK6" s="437"/>
      <c r="AL6" s="437"/>
      <c r="AM6" s="427" t="s">
        <v>402</v>
      </c>
      <c r="AO6" s="122"/>
      <c r="AP6" s="122" t="str">
        <f aca="false">IF(T6="","",T6)</f>
        <v>Схема подключения теплопотребляющей установки к коллектору источника тепловой энергии</v>
      </c>
      <c r="AQ6" s="122"/>
      <c r="AR6" s="122"/>
      <c r="AS6" s="42" t="n">
        <v>0</v>
      </c>
    </row>
    <row r="7" customFormat="false" ht="21" hidden="true" customHeight="true" outlineLevel="0" collapsed="false">
      <c r="A7" s="238"/>
      <c r="B7" s="238"/>
      <c r="C7" s="238"/>
      <c r="D7" s="238"/>
      <c r="E7" s="496"/>
      <c r="F7" s="496"/>
      <c r="G7" s="496"/>
      <c r="H7" s="496"/>
      <c r="I7" s="150"/>
      <c r="J7" s="138" t="e">
        <f aca="false">I6&amp;".1"</f>
        <v>#N/A</v>
      </c>
      <c r="K7" s="238"/>
      <c r="L7" s="497" t="s">
        <v>403</v>
      </c>
      <c r="M7" s="42"/>
      <c r="N7" s="42"/>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238"/>
      <c r="B8" s="238"/>
      <c r="C8" s="238"/>
      <c r="D8" s="238"/>
      <c r="E8" s="496"/>
      <c r="F8" s="496"/>
      <c r="G8" s="496"/>
      <c r="H8" s="496"/>
      <c r="I8" s="150"/>
      <c r="J8" s="150"/>
      <c r="K8" s="138" t="e">
        <f aca="false">J7&amp;".1"</f>
        <v>#N/A</v>
      </c>
      <c r="L8" s="497" t="s">
        <v>406</v>
      </c>
      <c r="M8" s="42"/>
      <c r="N8" s="42"/>
      <c r="O8" s="42"/>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238"/>
      <c r="B9" s="238"/>
      <c r="C9" s="238"/>
      <c r="D9" s="238"/>
      <c r="E9" s="496"/>
      <c r="F9" s="496"/>
      <c r="G9" s="496"/>
      <c r="H9" s="496"/>
      <c r="I9" s="150"/>
      <c r="J9" s="150"/>
      <c r="K9" s="138"/>
      <c r="L9" s="497"/>
      <c r="M9" s="42"/>
      <c r="N9" s="42"/>
      <c r="O9" s="42"/>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238"/>
      <c r="B10" s="238"/>
      <c r="C10" s="238"/>
      <c r="D10" s="238"/>
      <c r="E10" s="496"/>
      <c r="F10" s="496"/>
      <c r="G10" s="496"/>
      <c r="H10" s="496"/>
      <c r="I10" s="150"/>
      <c r="J10" s="138"/>
      <c r="K10" s="238"/>
      <c r="L10" s="497"/>
      <c r="M10" s="42"/>
      <c r="N10" s="42"/>
      <c r="P10" s="125"/>
      <c r="Q10" s="125"/>
      <c r="R10" s="435"/>
      <c r="S10" s="447"/>
      <c r="T10" s="448"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238"/>
      <c r="B11" s="238"/>
      <c r="C11" s="238"/>
      <c r="D11" s="238"/>
      <c r="E11" s="496"/>
      <c r="F11" s="496"/>
      <c r="G11" s="496"/>
      <c r="H11" s="496"/>
      <c r="I11" s="150"/>
      <c r="J11" s="238"/>
      <c r="K11" s="238"/>
      <c r="L11" s="497"/>
      <c r="M11" s="42"/>
      <c r="P11" s="125"/>
      <c r="Q11" s="125"/>
      <c r="R11" s="435"/>
      <c r="S11" s="447"/>
      <c r="T11" s="450"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238"/>
      <c r="B12" s="238"/>
      <c r="C12" s="238"/>
      <c r="D12" s="238"/>
      <c r="E12" s="496"/>
      <c r="F12" s="496"/>
      <c r="G12" s="496"/>
      <c r="H12" s="496"/>
      <c r="I12" s="238"/>
      <c r="J12" s="238"/>
      <c r="K12" s="238"/>
      <c r="L12" s="497"/>
      <c r="M12" s="77"/>
      <c r="N12" s="77"/>
      <c r="O12" s="42"/>
      <c r="P12" s="136"/>
      <c r="Q12" s="453"/>
      <c r="R12" s="421"/>
      <c r="S12" s="447"/>
      <c r="T12" s="454" t="s">
        <v>410</v>
      </c>
      <c r="U12" s="196"/>
      <c r="V12" s="196"/>
      <c r="W12" s="196"/>
      <c r="X12" s="196"/>
      <c r="Y12" s="196"/>
      <c r="Z12" s="196"/>
      <c r="AA12" s="196"/>
      <c r="AB12" s="196"/>
      <c r="AC12" s="451"/>
      <c r="AD12" s="196"/>
      <c r="AE12" s="196"/>
      <c r="AF12" s="196"/>
      <c r="AG12" s="196"/>
      <c r="AH12" s="196"/>
      <c r="AI12" s="196"/>
      <c r="AJ12" s="196"/>
      <c r="AK12" s="451"/>
      <c r="AL12" s="196"/>
      <c r="AM12" s="452"/>
      <c r="AO12" s="122"/>
      <c r="AP12" s="122" t="str">
        <f aca="false">IF(T12="","",T12)</f>
        <v>Добавить схему подключения</v>
      </c>
      <c r="AQ12" s="122"/>
      <c r="AR12" s="122"/>
      <c r="AS12" s="42" t="n">
        <v>0</v>
      </c>
    </row>
    <row r="13" s="49" customFormat="true" ht="0.75" hidden="true" customHeight="true" outlineLevel="0" collapsed="false">
      <c r="A13" s="498"/>
      <c r="B13" s="498"/>
      <c r="C13" s="498"/>
      <c r="D13" s="498"/>
      <c r="E13" s="496"/>
      <c r="F13" s="496"/>
      <c r="G13" s="496"/>
      <c r="H13" s="498"/>
      <c r="I13" s="498"/>
      <c r="J13" s="498"/>
      <c r="K13" s="498"/>
      <c r="L13" s="499"/>
      <c r="M13" s="500"/>
      <c r="N13" s="500"/>
      <c r="O13" s="124"/>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498"/>
      <c r="B14" s="498"/>
      <c r="C14" s="498"/>
      <c r="D14" s="498"/>
      <c r="E14" s="496"/>
      <c r="F14" s="496"/>
      <c r="G14" s="498"/>
      <c r="H14" s="498"/>
      <c r="I14" s="498"/>
      <c r="J14" s="498"/>
      <c r="K14" s="498"/>
      <c r="L14" s="499"/>
      <c r="M14" s="501"/>
      <c r="N14" s="501"/>
      <c r="O14" s="124"/>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498"/>
      <c r="B15" s="498"/>
      <c r="C15" s="498"/>
      <c r="D15" s="498"/>
      <c r="E15" s="496"/>
      <c r="F15" s="498"/>
      <c r="G15" s="498"/>
      <c r="H15" s="498"/>
      <c r="I15" s="498"/>
      <c r="J15" s="498"/>
      <c r="K15" s="498"/>
      <c r="L15" s="499"/>
      <c r="M15" s="501"/>
      <c r="N15" s="501"/>
      <c r="O15" s="124"/>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14.25" hidden="true" customHeight="true" outlineLevel="0" collapsed="false">
      <c r="A20" s="42"/>
      <c r="B20" s="42"/>
      <c r="C20" s="42"/>
      <c r="D20" s="42"/>
      <c r="E20" s="42"/>
      <c r="F20" s="42"/>
      <c r="G20" s="42"/>
      <c r="H20" s="42"/>
      <c r="I20" s="42"/>
      <c r="J20" s="42"/>
      <c r="K20" s="42"/>
      <c r="L20" s="43"/>
      <c r="M20" s="52"/>
      <c r="N20" s="52"/>
      <c r="O20" s="502"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A21" s="42"/>
      <c r="B21" s="42"/>
      <c r="C21" s="42"/>
      <c r="D21" s="42"/>
      <c r="E21" s="42"/>
      <c r="F21" s="42"/>
      <c r="G21" s="42"/>
      <c r="H21" s="42"/>
      <c r="I21" s="42"/>
      <c r="J21" s="42"/>
      <c r="K21" s="42"/>
      <c r="L21" s="43"/>
      <c r="M21" s="52"/>
      <c r="N21" s="52"/>
      <c r="O21" s="52"/>
      <c r="P21" s="53"/>
      <c r="Q21" s="469"/>
      <c r="R21" s="469"/>
      <c r="S21" s="420"/>
      <c r="AN21" s="49"/>
      <c r="AO21" s="49"/>
      <c r="AP21" s="49"/>
      <c r="AQ21" s="49"/>
      <c r="AR21" s="49"/>
      <c r="AS21" s="45" t="n">
        <v>0</v>
      </c>
    </row>
    <row r="22" s="45" customFormat="true" ht="14.25" hidden="true" customHeight="true" outlineLevel="0" collapsed="false">
      <c r="A22" s="42"/>
      <c r="B22" s="42"/>
      <c r="C22" s="42"/>
      <c r="D22" s="42"/>
      <c r="E22" s="42"/>
      <c r="F22" s="42"/>
      <c r="G22" s="42"/>
      <c r="H22" s="42"/>
      <c r="I22" s="42"/>
      <c r="J22" s="42"/>
      <c r="K22" s="42"/>
      <c r="L22" s="43"/>
      <c r="M22" s="52"/>
      <c r="N22" s="52"/>
      <c r="O22" s="497"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97"/>
      <c r="AS23" s="42" t="n">
        <v>0</v>
      </c>
    </row>
    <row r="24" customFormat="false" ht="14.25" hidden="true" customHeight="true" outlineLevel="0" collapsed="false">
      <c r="O24" s="497"/>
      <c r="AS24" s="42" t="n">
        <v>0</v>
      </c>
    </row>
    <row r="25" customFormat="false" ht="14.25" hidden="false" customHeight="true" outlineLevel="0" collapsed="false">
      <c r="Q25" s="470"/>
      <c r="R25" s="470"/>
      <c r="S25" s="471"/>
      <c r="T25" s="83"/>
      <c r="U25" s="83"/>
      <c r="AS25" s="42" t="n">
        <v>14</v>
      </c>
    </row>
    <row r="26" customFormat="false" ht="14.25" hidden="false" customHeight="true" outlineLevel="0" collapsed="false">
      <c r="Q26" s="470"/>
      <c r="R26" s="470"/>
      <c r="S26" s="215"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5"/>
      <c r="U26" s="215"/>
      <c r="V26" s="215"/>
      <c r="W26" s="215"/>
      <c r="X26" s="215"/>
      <c r="Y26" s="215"/>
      <c r="Z26" s="215"/>
      <c r="AA26" s="215"/>
      <c r="AB26" s="215"/>
      <c r="AC26" s="215"/>
      <c r="AD26" s="215"/>
      <c r="AE26" s="215"/>
      <c r="AF26" s="215"/>
      <c r="AG26" s="215"/>
      <c r="AH26" s="215"/>
      <c r="AI26" s="215"/>
      <c r="AJ26" s="215"/>
      <c r="AK26" s="217"/>
      <c r="AS26" s="42" t="n">
        <v>14</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00"/>
      <c r="B29" s="100"/>
      <c r="C29" s="100"/>
      <c r="D29" s="100"/>
      <c r="E29" s="100"/>
      <c r="F29" s="100"/>
      <c r="G29" s="100"/>
      <c r="H29" s="100"/>
      <c r="I29" s="100"/>
      <c r="J29" s="100"/>
      <c r="K29" s="100"/>
      <c r="L29" s="497"/>
      <c r="M29" s="100"/>
      <c r="N29" s="100"/>
      <c r="O29" s="100"/>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00"/>
      <c r="B30" s="100"/>
      <c r="C30" s="100"/>
      <c r="D30" s="100"/>
      <c r="E30" s="100"/>
      <c r="F30" s="100"/>
      <c r="G30" s="100"/>
      <c r="H30" s="100"/>
      <c r="I30" s="100"/>
      <c r="J30" s="100"/>
      <c r="K30" s="100"/>
      <c r="L30" s="497"/>
      <c r="M30" s="100"/>
      <c r="N30" s="100"/>
      <c r="O30" s="100"/>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00"/>
      <c r="B31" s="100"/>
      <c r="C31" s="100"/>
      <c r="D31" s="100"/>
      <c r="E31" s="100"/>
      <c r="F31" s="100"/>
      <c r="G31" s="100"/>
      <c r="H31" s="100"/>
      <c r="I31" s="100"/>
      <c r="J31" s="100"/>
      <c r="K31" s="100"/>
      <c r="L31" s="497"/>
      <c r="M31" s="100"/>
      <c r="N31" s="100"/>
      <c r="O31" s="100"/>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00"/>
      <c r="B32" s="100"/>
      <c r="C32" s="100"/>
      <c r="D32" s="100"/>
      <c r="E32" s="100"/>
      <c r="F32" s="100"/>
      <c r="G32" s="100"/>
      <c r="H32" s="100"/>
      <c r="I32" s="100"/>
      <c r="J32" s="100"/>
      <c r="K32" s="100"/>
      <c r="L32" s="497"/>
      <c r="M32" s="100"/>
      <c r="N32" s="100"/>
      <c r="O32" s="100"/>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00"/>
      <c r="B34" s="100"/>
      <c r="C34" s="100"/>
      <c r="D34" s="100"/>
      <c r="E34" s="100"/>
      <c r="F34" s="100"/>
      <c r="G34" s="100"/>
      <c r="H34" s="100"/>
      <c r="I34" s="100"/>
      <c r="J34" s="100"/>
      <c r="K34" s="100"/>
      <c r="L34" s="497"/>
      <c r="M34" s="100"/>
      <c r="N34" s="100"/>
      <c r="O34" s="100"/>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00"/>
      <c r="B35" s="100"/>
      <c r="C35" s="100"/>
      <c r="D35" s="100"/>
      <c r="E35" s="100"/>
      <c r="F35" s="100"/>
      <c r="G35" s="100"/>
      <c r="H35" s="100"/>
      <c r="I35" s="100"/>
      <c r="J35" s="100"/>
      <c r="K35" s="100"/>
      <c r="L35" s="497"/>
      <c r="M35" s="100"/>
      <c r="N35" s="100"/>
      <c r="O35" s="100"/>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00"/>
      <c r="B36" s="100"/>
      <c r="C36" s="100"/>
      <c r="D36" s="100"/>
      <c r="E36" s="100"/>
      <c r="F36" s="100"/>
      <c r="G36" s="100"/>
      <c r="H36" s="100"/>
      <c r="I36" s="100"/>
      <c r="J36" s="100"/>
      <c r="K36" s="100"/>
      <c r="L36" s="497"/>
      <c r="M36" s="100"/>
      <c r="N36" s="100"/>
      <c r="O36" s="100"/>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t="s">
        <v>431</v>
      </c>
      <c r="X40" s="138" t="s">
        <v>432</v>
      </c>
      <c r="Y40" s="138"/>
      <c r="Z40" s="138" t="s">
        <v>446</v>
      </c>
      <c r="AA40" s="138"/>
      <c r="AB40" s="138"/>
      <c r="AC40" s="395"/>
      <c r="AD40" s="484" t="s">
        <v>430</v>
      </c>
      <c r="AE40" s="434" t="s">
        <v>431</v>
      </c>
      <c r="AF40" s="138" t="s">
        <v>432</v>
      </c>
      <c r="AG40" s="138"/>
      <c r="AH40" s="138" t="s">
        <v>433</v>
      </c>
      <c r="AI40" s="138"/>
      <c r="AJ40" s="138"/>
      <c r="AK40" s="395"/>
      <c r="AL40" s="482"/>
      <c r="AM40" s="138"/>
      <c r="AS40" s="42" t="n">
        <v>34</v>
      </c>
    </row>
    <row r="41" customFormat="false" ht="35.25" hidden="false" customHeight="true" outlineLevel="0" collapsed="false">
      <c r="A41" s="100"/>
      <c r="B41" s="100" t="s">
        <v>134</v>
      </c>
      <c r="C41" s="100" t="s">
        <v>135</v>
      </c>
      <c r="D41" s="100" t="s">
        <v>136</v>
      </c>
      <c r="E41" s="497" t="s">
        <v>434</v>
      </c>
      <c r="F41" s="497" t="s">
        <v>435</v>
      </c>
      <c r="G41" s="497" t="s">
        <v>436</v>
      </c>
      <c r="H41" s="497" t="s">
        <v>437</v>
      </c>
      <c r="I41" s="497" t="s">
        <v>438</v>
      </c>
      <c r="J41" s="497" t="s">
        <v>439</v>
      </c>
      <c r="K41" s="497" t="s">
        <v>440</v>
      </c>
      <c r="L41" s="497"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00"/>
      <c r="B42" s="100"/>
      <c r="C42" s="100"/>
      <c r="D42" s="100"/>
      <c r="E42" s="100"/>
      <c r="F42" s="100"/>
      <c r="G42" s="100"/>
      <c r="H42" s="100"/>
      <c r="I42" s="100"/>
      <c r="J42" s="100"/>
      <c r="K42" s="100"/>
      <c r="L42" s="497"/>
      <c r="M42" s="52"/>
      <c r="N42" s="52"/>
      <c r="O42" s="52"/>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238" t="s">
        <v>209</v>
      </c>
      <c r="B43" s="238"/>
      <c r="C43" s="238"/>
      <c r="D43" s="238"/>
      <c r="E43" s="496" t="n">
        <v>1</v>
      </c>
      <c r="F43" s="238"/>
      <c r="G43" s="238"/>
      <c r="H43" s="238"/>
      <c r="I43" s="238"/>
      <c r="J43" s="238"/>
      <c r="K43" s="238"/>
      <c r="L43" s="497"/>
      <c r="M43" s="77"/>
      <c r="N43" s="77"/>
      <c r="O43" s="77"/>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238" t="s">
        <v>209</v>
      </c>
      <c r="B44" s="238" t="s">
        <v>210</v>
      </c>
      <c r="C44" s="238"/>
      <c r="D44" s="238"/>
      <c r="E44" s="496"/>
      <c r="F44" s="496" t="n">
        <v>1</v>
      </c>
      <c r="G44" s="238"/>
      <c r="H44" s="238"/>
      <c r="I44" s="238"/>
      <c r="J44" s="238"/>
      <c r="K44" s="238"/>
      <c r="L44" s="497"/>
      <c r="M44" s="77"/>
      <c r="N44" s="77"/>
      <c r="O44" s="77"/>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238" t="s">
        <v>209</v>
      </c>
      <c r="B45" s="238" t="s">
        <v>210</v>
      </c>
      <c r="C45" s="238" t="s">
        <v>211</v>
      </c>
      <c r="D45" s="238"/>
      <c r="E45" s="496"/>
      <c r="F45" s="496"/>
      <c r="G45" s="496" t="n">
        <v>1</v>
      </c>
      <c r="H45" s="238"/>
      <c r="I45" s="238"/>
      <c r="J45" s="238"/>
      <c r="K45" s="238"/>
      <c r="L45" s="497"/>
      <c r="M45" s="77"/>
      <c r="N45" s="77"/>
      <c r="O45" s="77"/>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238" t="s">
        <v>209</v>
      </c>
      <c r="B46" s="238" t="s">
        <v>210</v>
      </c>
      <c r="C46" s="238" t="s">
        <v>211</v>
      </c>
      <c r="D46" s="238" t="s">
        <v>212</v>
      </c>
      <c r="E46" s="496"/>
      <c r="F46" s="496"/>
      <c r="G46" s="496"/>
      <c r="H46" s="496" t="n">
        <v>1</v>
      </c>
      <c r="I46" s="238"/>
      <c r="J46" s="238"/>
      <c r="K46" s="238"/>
      <c r="L46" s="497"/>
      <c r="M46" s="77"/>
      <c r="N46" s="77"/>
      <c r="O46" s="77"/>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customFormat="false" ht="49.5" hidden="false" customHeight="true" outlineLevel="0" collapsed="false">
      <c r="A47" s="238" t="s">
        <v>209</v>
      </c>
      <c r="B47" s="238" t="s">
        <v>210</v>
      </c>
      <c r="C47" s="238" t="s">
        <v>211</v>
      </c>
      <c r="D47" s="238" t="s">
        <v>212</v>
      </c>
      <c r="E47" s="496"/>
      <c r="F47" s="496"/>
      <c r="G47" s="496"/>
      <c r="H47" s="496"/>
      <c r="I47" s="150" t="str">
        <f aca="false">S46&amp;".1"</f>
        <v>....1</v>
      </c>
      <c r="J47" s="238"/>
      <c r="K47" s="238"/>
      <c r="L47" s="497" t="s">
        <v>400</v>
      </c>
      <c r="P47" s="125" t="n">
        <v>1</v>
      </c>
      <c r="Q47" s="125"/>
      <c r="R47" s="435"/>
      <c r="S47" s="422" t="str">
        <f aca="false">$I47</f>
        <v>....1</v>
      </c>
      <c r="T47" s="436" t="s">
        <v>401</v>
      </c>
      <c r="U47" s="424"/>
      <c r="V47" s="437"/>
      <c r="W47" s="437"/>
      <c r="X47" s="437"/>
      <c r="Y47" s="437"/>
      <c r="Z47" s="437"/>
      <c r="AA47" s="437"/>
      <c r="AB47" s="437"/>
      <c r="AC47" s="437"/>
      <c r="AD47" s="437"/>
      <c r="AE47" s="437"/>
      <c r="AF47" s="437"/>
      <c r="AG47" s="437"/>
      <c r="AH47" s="437"/>
      <c r="AI47" s="437"/>
      <c r="AJ47" s="437"/>
      <c r="AK47" s="437"/>
      <c r="AL47" s="437"/>
      <c r="AM47" s="427" t="s">
        <v>402</v>
      </c>
      <c r="AO47" s="122"/>
      <c r="AP47" s="122" t="str">
        <f aca="false">IF(T47="","",T47)</f>
        <v>Схема подключения теплопотребляющей установки к коллектору источника тепловой энергии</v>
      </c>
      <c r="AQ47" s="122"/>
      <c r="AR47" s="122"/>
      <c r="AS47" s="42" t="n">
        <v>47</v>
      </c>
    </row>
    <row r="48" customFormat="false" ht="21.75" hidden="false" customHeight="true" outlineLevel="0" collapsed="false">
      <c r="A48" s="238" t="s">
        <v>209</v>
      </c>
      <c r="B48" s="238" t="s">
        <v>210</v>
      </c>
      <c r="C48" s="238" t="s">
        <v>211</v>
      </c>
      <c r="D48" s="238" t="s">
        <v>212</v>
      </c>
      <c r="E48" s="496"/>
      <c r="F48" s="496"/>
      <c r="G48" s="496"/>
      <c r="H48" s="496"/>
      <c r="I48" s="150"/>
      <c r="J48" s="138" t="str">
        <f aca="false">I47&amp;".1"</f>
        <v>....1.1</v>
      </c>
      <c r="K48" s="238"/>
      <c r="L48" s="497" t="s">
        <v>403</v>
      </c>
      <c r="P48" s="125"/>
      <c r="Q48" s="125" t="n">
        <v>1</v>
      </c>
      <c r="R48" s="438"/>
      <c r="S48" s="422" t="str">
        <f aca="false">$J48</f>
        <v>....1.1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238" t="s">
        <v>209</v>
      </c>
      <c r="B49" s="238" t="s">
        <v>210</v>
      </c>
      <c r="C49" s="238" t="s">
        <v>211</v>
      </c>
      <c r="D49" s="238" t="s">
        <v>212</v>
      </c>
      <c r="E49" s="496"/>
      <c r="F49" s="496"/>
      <c r="G49" s="496"/>
      <c r="H49" s="496"/>
      <c r="I49" s="150"/>
      <c r="J49" s="150"/>
      <c r="K49" s="138" t="str">
        <f aca="false">J48&amp;".1"</f>
        <v>....1.1.1</v>
      </c>
      <c r="L49" s="497" t="s">
        <v>406</v>
      </c>
      <c r="P49" s="125"/>
      <c r="Q49" s="125"/>
      <c r="R49" s="438" t="n">
        <v>1</v>
      </c>
      <c r="S49" s="422" t="str">
        <f aca="false">$K49</f>
        <v>....1.1.1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407</v>
      </c>
      <c r="AN49" s="49" t="e">
        <f aca="false">strcheckdate(V50:AL50)</f>
        <v>#NAME?</v>
      </c>
      <c r="AO49" s="122"/>
      <c r="AP49" s="122" t="str">
        <f aca="false">IF(T49="","",T49)</f>
        <v/>
      </c>
      <c r="AQ49" s="122"/>
      <c r="AR49" s="122"/>
      <c r="AS49" s="42" t="n">
        <v>21</v>
      </c>
    </row>
    <row r="50" customFormat="false" ht="0.75" hidden="false" customHeight="true" outlineLevel="0" collapsed="false">
      <c r="A50" s="238" t="s">
        <v>209</v>
      </c>
      <c r="B50" s="238" t="s">
        <v>210</v>
      </c>
      <c r="C50" s="238" t="s">
        <v>211</v>
      </c>
      <c r="D50" s="238" t="s">
        <v>212</v>
      </c>
      <c r="E50" s="496"/>
      <c r="F50" s="496"/>
      <c r="G50" s="496"/>
      <c r="H50" s="496"/>
      <c r="I50" s="150"/>
      <c r="J50" s="150"/>
      <c r="K50" s="138"/>
      <c r="L50" s="497"/>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238" t="s">
        <v>209</v>
      </c>
      <c r="B51" s="238" t="s">
        <v>210</v>
      </c>
      <c r="C51" s="238" t="s">
        <v>211</v>
      </c>
      <c r="D51" s="238" t="s">
        <v>212</v>
      </c>
      <c r="E51" s="496"/>
      <c r="F51" s="496"/>
      <c r="G51" s="496"/>
      <c r="H51" s="496"/>
      <c r="I51" s="150"/>
      <c r="J51" s="138"/>
      <c r="K51" s="238"/>
      <c r="L51" s="497"/>
      <c r="P51" s="125"/>
      <c r="Q51" s="125"/>
      <c r="R51" s="435"/>
      <c r="S51" s="447"/>
      <c r="T51" s="448"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238" t="s">
        <v>209</v>
      </c>
      <c r="B52" s="238" t="s">
        <v>210</v>
      </c>
      <c r="C52" s="238" t="s">
        <v>211</v>
      </c>
      <c r="D52" s="238" t="s">
        <v>212</v>
      </c>
      <c r="E52" s="496"/>
      <c r="F52" s="496"/>
      <c r="G52" s="496"/>
      <c r="H52" s="496"/>
      <c r="I52" s="150"/>
      <c r="J52" s="238"/>
      <c r="K52" s="238"/>
      <c r="L52" s="497"/>
      <c r="P52" s="125"/>
      <c r="Q52" s="125"/>
      <c r="R52" s="435"/>
      <c r="S52" s="447"/>
      <c r="T52" s="450"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25" hidden="false" customHeight="true" outlineLevel="0" collapsed="false">
      <c r="A53" s="238" t="s">
        <v>209</v>
      </c>
      <c r="B53" s="238" t="s">
        <v>210</v>
      </c>
      <c r="C53" s="238" t="s">
        <v>211</v>
      </c>
      <c r="D53" s="238" t="s">
        <v>212</v>
      </c>
      <c r="E53" s="496"/>
      <c r="F53" s="496"/>
      <c r="G53" s="496"/>
      <c r="H53" s="496"/>
      <c r="I53" s="238"/>
      <c r="J53" s="238"/>
      <c r="K53" s="238"/>
      <c r="L53" s="497"/>
      <c r="M53" s="77"/>
      <c r="N53" s="77"/>
      <c r="O53" s="42"/>
      <c r="P53" s="136"/>
      <c r="Q53" s="453"/>
      <c r="R53" s="421"/>
      <c r="S53" s="447"/>
      <c r="T53" s="454" t="s">
        <v>410</v>
      </c>
      <c r="U53" s="196"/>
      <c r="V53" s="196"/>
      <c r="W53" s="196"/>
      <c r="X53" s="196"/>
      <c r="Y53" s="196"/>
      <c r="Z53" s="196"/>
      <c r="AA53" s="196"/>
      <c r="AB53" s="196"/>
      <c r="AC53" s="451"/>
      <c r="AD53" s="196"/>
      <c r="AE53" s="196"/>
      <c r="AF53" s="196"/>
      <c r="AG53" s="196"/>
      <c r="AH53" s="196"/>
      <c r="AI53" s="196"/>
      <c r="AJ53" s="196"/>
      <c r="AK53" s="451"/>
      <c r="AL53" s="196"/>
      <c r="AM53" s="452"/>
      <c r="AO53" s="122"/>
      <c r="AP53" s="122" t="str">
        <f aca="false">IF(T53="","",T53)</f>
        <v>Добавить схему подключения</v>
      </c>
      <c r="AQ53" s="122"/>
      <c r="AR53" s="122"/>
      <c r="AS53" s="42" t="n">
        <v>14</v>
      </c>
    </row>
    <row r="54" s="49" customFormat="true" ht="3.75" hidden="false" customHeight="true" outlineLevel="0" collapsed="false">
      <c r="A54" s="498" t="s">
        <v>209</v>
      </c>
      <c r="B54" s="498" t="s">
        <v>210</v>
      </c>
      <c r="C54" s="498" t="s">
        <v>211</v>
      </c>
      <c r="D54" s="498"/>
      <c r="E54" s="496"/>
      <c r="F54" s="496"/>
      <c r="G54" s="496"/>
      <c r="H54" s="498"/>
      <c r="I54" s="498"/>
      <c r="J54" s="498"/>
      <c r="K54" s="498"/>
      <c r="L54" s="499"/>
      <c r="M54" s="500"/>
      <c r="N54" s="500"/>
      <c r="O54" s="124"/>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4</v>
      </c>
    </row>
    <row r="55" s="49" customFormat="true" ht="3.75" hidden="false" customHeight="true" outlineLevel="0" collapsed="false">
      <c r="A55" s="498" t="s">
        <v>209</v>
      </c>
      <c r="B55" s="498" t="s">
        <v>210</v>
      </c>
      <c r="C55" s="498"/>
      <c r="D55" s="498"/>
      <c r="E55" s="496"/>
      <c r="F55" s="496"/>
      <c r="G55" s="498"/>
      <c r="H55" s="498"/>
      <c r="I55" s="498"/>
      <c r="J55" s="498"/>
      <c r="K55" s="498"/>
      <c r="L55" s="499"/>
      <c r="M55" s="501"/>
      <c r="N55" s="501"/>
      <c r="O55" s="124"/>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4</v>
      </c>
    </row>
    <row r="56" s="49" customFormat="true" ht="3.75" hidden="false" customHeight="true" outlineLevel="0" collapsed="false">
      <c r="A56" s="498" t="s">
        <v>209</v>
      </c>
      <c r="B56" s="498"/>
      <c r="C56" s="498"/>
      <c r="D56" s="498"/>
      <c r="E56" s="496"/>
      <c r="F56" s="498"/>
      <c r="G56" s="498"/>
      <c r="H56" s="498"/>
      <c r="I56" s="498"/>
      <c r="J56" s="498"/>
      <c r="K56" s="498"/>
      <c r="L56" s="499"/>
      <c r="M56" s="501"/>
      <c r="N56" s="501"/>
      <c r="O56" s="124"/>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4</v>
      </c>
    </row>
    <row r="57" s="49" customFormat="true" ht="3.75" hidden="false" customHeight="true" outlineLevel="0" collapsed="false">
      <c r="A57" s="498"/>
      <c r="B57" s="498"/>
      <c r="C57" s="498"/>
      <c r="D57" s="498"/>
      <c r="E57" s="498"/>
      <c r="F57" s="498"/>
      <c r="G57" s="498"/>
      <c r="H57" s="498"/>
      <c r="I57" s="498"/>
      <c r="J57" s="498"/>
      <c r="K57" s="498"/>
      <c r="L57" s="499"/>
      <c r="M57" s="501"/>
      <c r="N57" s="501"/>
      <c r="O57" s="124"/>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4</v>
      </c>
    </row>
    <row r="58" customFormat="false" ht="11.25" hidden="false" customHeight="true" outlineLevel="0" collapsed="false">
      <c r="M58" s="42"/>
      <c r="N58" s="42"/>
      <c r="O58" s="42"/>
      <c r="P58" s="42"/>
      <c r="Q58" s="42"/>
      <c r="R58" s="42"/>
      <c r="S58" s="42"/>
      <c r="AN58" s="42"/>
      <c r="AO58" s="42"/>
      <c r="AP58" s="42"/>
      <c r="AQ58" s="42"/>
      <c r="AR58" s="42"/>
      <c r="AS58" s="42" t="n">
        <v>11</v>
      </c>
    </row>
    <row r="59" customFormat="false" ht="28.5" hidden="false" customHeight="true" outlineLevel="0" collapsed="false">
      <c r="O59" s="42"/>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27</v>
      </c>
    </row>
    <row r="60" customFormat="false" ht="65.25" hidden="false" customHeight="true" outlineLevel="0" collapsed="false">
      <c r="O60" s="42"/>
      <c r="T60" s="495"/>
      <c r="U60" s="495"/>
      <c r="V60" s="495"/>
      <c r="W60" s="495"/>
      <c r="X60" s="495"/>
      <c r="Y60" s="495"/>
      <c r="Z60" s="495"/>
      <c r="AA60" s="495"/>
      <c r="AB60" s="495"/>
      <c r="AC60" s="495"/>
      <c r="AD60" s="495"/>
      <c r="AE60" s="495"/>
      <c r="AF60" s="495"/>
      <c r="AG60" s="495"/>
      <c r="AH60" s="495"/>
      <c r="AI60" s="495"/>
      <c r="AJ60" s="495"/>
      <c r="AK60" s="495"/>
      <c r="AL60" s="495"/>
      <c r="AM60" s="495"/>
      <c r="AS60" s="42" t="n">
        <v>62</v>
      </c>
    </row>
    <row r="61" customFormat="false" ht="14.25" hidden="false" customHeight="true" outlineLevel="0" collapsed="false">
      <c r="O61" s="42"/>
      <c r="AS61" s="42" t="n">
        <v>14</v>
      </c>
    </row>
    <row r="62" customFormat="false" ht="18.75" hidden="false" customHeight="true" outlineLevel="0" collapsed="false">
      <c r="O62" s="42"/>
      <c r="S62" s="414"/>
      <c r="T62" s="495"/>
      <c r="U62" s="495"/>
      <c r="V62" s="495"/>
      <c r="W62" s="495"/>
      <c r="X62" s="495"/>
      <c r="Y62" s="495"/>
      <c r="Z62" s="495"/>
      <c r="AA62" s="495"/>
      <c r="AB62" s="495"/>
      <c r="AC62" s="495"/>
      <c r="AD62" s="495"/>
      <c r="AE62" s="495"/>
      <c r="AF62" s="495"/>
      <c r="AG62" s="495"/>
      <c r="AH62" s="495"/>
      <c r="AI62" s="495"/>
      <c r="AJ62" s="495"/>
      <c r="AK62" s="495"/>
      <c r="AL62" s="495"/>
      <c r="AM62" s="495"/>
      <c r="AS62" s="42" t="n">
        <v>18</v>
      </c>
    </row>
    <row r="63" customFormat="false" ht="18.75" hidden="false" customHeight="true" outlineLevel="0" collapsed="false">
      <c r="O63" s="42"/>
      <c r="T63" s="495"/>
      <c r="U63" s="495"/>
      <c r="V63" s="495"/>
      <c r="W63" s="495"/>
      <c r="X63" s="495"/>
      <c r="Y63" s="495"/>
      <c r="Z63" s="495"/>
      <c r="AA63" s="495"/>
      <c r="AB63" s="495"/>
      <c r="AC63" s="495"/>
      <c r="AD63" s="495"/>
      <c r="AE63" s="495"/>
      <c r="AF63" s="495"/>
      <c r="AG63" s="495"/>
      <c r="AH63" s="495"/>
      <c r="AI63" s="495"/>
      <c r="AJ63" s="495"/>
      <c r="AK63" s="495"/>
      <c r="AL63" s="495"/>
      <c r="AM63" s="495"/>
      <c r="AS63" s="42" t="n">
        <v>18</v>
      </c>
    </row>
    <row r="64" customFormat="false" ht="29.25" hidden="false" customHeight="true" outlineLevel="0" collapsed="false">
      <c r="O64" s="42"/>
      <c r="S64" s="414"/>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22.5" hidden="true" customHeight="true" outlineLevel="0" collapsed="false">
      <c r="A65" s="42" t="s">
        <v>80</v>
      </c>
      <c r="B65" s="42" t="n">
        <v>0</v>
      </c>
      <c r="C65" s="42" t="n">
        <v>0</v>
      </c>
      <c r="D65" s="42" t="n">
        <v>0</v>
      </c>
      <c r="E65" s="42" t="n">
        <v>0</v>
      </c>
      <c r="F65" s="42" t="n">
        <v>0</v>
      </c>
      <c r="G65" s="42" t="n">
        <v>0</v>
      </c>
      <c r="H65" s="42" t="n">
        <v>0</v>
      </c>
      <c r="I65" s="42" t="n">
        <v>0</v>
      </c>
      <c r="J65" s="42" t="n">
        <v>0</v>
      </c>
      <c r="K65" s="42" t="n">
        <v>0</v>
      </c>
      <c r="L65" s="43" t="n">
        <v>0</v>
      </c>
      <c r="M65" s="52" t="n">
        <v>0</v>
      </c>
      <c r="N65" s="52" t="n">
        <v>0</v>
      </c>
      <c r="O65" s="52" t="n">
        <v>0</v>
      </c>
      <c r="P65" s="52" t="n">
        <v>3</v>
      </c>
      <c r="Q65" s="416" t="n">
        <v>3</v>
      </c>
      <c r="R65" s="416" t="n">
        <v>3</v>
      </c>
      <c r="S65" s="77"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9" t="n">
        <v>10</v>
      </c>
      <c r="AO65" s="49" t="n">
        <v>10</v>
      </c>
      <c r="AP65" s="49" t="n">
        <v>10</v>
      </c>
      <c r="AQ65" s="49" t="n">
        <v>10</v>
      </c>
      <c r="AR65" s="49"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5"/>
    <col collapsed="false" customWidth="true" hidden="true" outlineLevel="0" max="11" min="11" style="42" width="11.43"/>
    <col collapsed="false" customWidth="true" hidden="true" outlineLevel="0" max="12" min="12" style="43" width="19.14"/>
    <col collapsed="false" customWidth="true" hidden="true" outlineLevel="0" max="14" min="13" style="52" width="12.28"/>
    <col collapsed="false" customWidth="true" hidden="true" outlineLevel="0" max="15" min="15" style="52"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238"/>
      <c r="B2" s="238"/>
      <c r="C2" s="238"/>
      <c r="D2" s="238"/>
      <c r="E2" s="496" t="n">
        <v>1</v>
      </c>
      <c r="F2" s="238"/>
      <c r="G2" s="238"/>
      <c r="H2" s="238"/>
      <c r="I2" s="238"/>
      <c r="J2" s="238"/>
      <c r="K2" s="238"/>
      <c r="L2" s="497"/>
      <c r="M2" s="77"/>
      <c r="N2" s="77"/>
      <c r="O2" s="77"/>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238"/>
      <c r="B3" s="238"/>
      <c r="C3" s="238"/>
      <c r="D3" s="238"/>
      <c r="E3" s="496"/>
      <c r="F3" s="496" t="n">
        <v>1</v>
      </c>
      <c r="G3" s="238"/>
      <c r="H3" s="238"/>
      <c r="I3" s="238"/>
      <c r="J3" s="238"/>
      <c r="K3" s="238"/>
      <c r="L3" s="497"/>
      <c r="M3" s="77"/>
      <c r="N3" s="77"/>
      <c r="O3" s="77"/>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238"/>
      <c r="B4" s="238"/>
      <c r="C4" s="238"/>
      <c r="D4" s="238"/>
      <c r="E4" s="496"/>
      <c r="F4" s="496"/>
      <c r="G4" s="496" t="n">
        <v>1</v>
      </c>
      <c r="H4" s="238"/>
      <c r="I4" s="238"/>
      <c r="J4" s="238"/>
      <c r="K4" s="238"/>
      <c r="L4" s="497"/>
      <c r="M4" s="77"/>
      <c r="N4" s="77"/>
      <c r="O4" s="77"/>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238"/>
      <c r="B5" s="238"/>
      <c r="C5" s="238"/>
      <c r="D5" s="238"/>
      <c r="E5" s="496"/>
      <c r="F5" s="496"/>
      <c r="G5" s="496"/>
      <c r="H5" s="496" t="n">
        <v>1</v>
      </c>
      <c r="I5" s="238"/>
      <c r="J5" s="238"/>
      <c r="K5" s="238"/>
      <c r="L5" s="497"/>
      <c r="M5" s="77"/>
      <c r="N5" s="77"/>
      <c r="O5" s="77"/>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47.25" hidden="true" customHeight="true" outlineLevel="0" collapsed="false">
      <c r="A6" s="238"/>
      <c r="B6" s="238"/>
      <c r="C6" s="238"/>
      <c r="D6" s="238"/>
      <c r="E6" s="496"/>
      <c r="F6" s="496"/>
      <c r="G6" s="496"/>
      <c r="H6" s="496"/>
      <c r="I6" s="150" t="e">
        <f aca="false">S5&amp;".1"</f>
        <v>#N/A</v>
      </c>
      <c r="J6" s="238"/>
      <c r="K6" s="238"/>
      <c r="L6" s="497" t="s">
        <v>400</v>
      </c>
      <c r="M6" s="42"/>
      <c r="P6" s="125" t="n">
        <v>1</v>
      </c>
      <c r="Q6" s="125"/>
      <c r="R6" s="435"/>
      <c r="S6" s="422" t="e">
        <f aca="false">$I6</f>
        <v>#N/A</v>
      </c>
      <c r="T6" s="436" t="s">
        <v>401</v>
      </c>
      <c r="U6" s="424"/>
      <c r="V6" s="437"/>
      <c r="W6" s="437"/>
      <c r="X6" s="437"/>
      <c r="Y6" s="437"/>
      <c r="Z6" s="437"/>
      <c r="AA6" s="437"/>
      <c r="AB6" s="437"/>
      <c r="AC6" s="437"/>
      <c r="AD6" s="437"/>
      <c r="AE6" s="437"/>
      <c r="AF6" s="437"/>
      <c r="AG6" s="437"/>
      <c r="AH6" s="437"/>
      <c r="AI6" s="437"/>
      <c r="AJ6" s="437"/>
      <c r="AK6" s="437"/>
      <c r="AL6" s="437"/>
      <c r="AM6" s="427" t="s">
        <v>402</v>
      </c>
      <c r="AO6" s="122"/>
      <c r="AP6" s="122" t="str">
        <f aca="false">IF(T6="","",T6)</f>
        <v>Схема подключения теплопотребляющей установки к коллектору источника тепловой энергии</v>
      </c>
      <c r="AQ6" s="122"/>
      <c r="AR6" s="122"/>
      <c r="AS6" s="42" t="n">
        <v>0</v>
      </c>
    </row>
    <row r="7" customFormat="false" ht="21" hidden="true" customHeight="true" outlineLevel="0" collapsed="false">
      <c r="A7" s="238"/>
      <c r="B7" s="238"/>
      <c r="C7" s="238"/>
      <c r="D7" s="238"/>
      <c r="E7" s="496"/>
      <c r="F7" s="496"/>
      <c r="G7" s="496"/>
      <c r="H7" s="496"/>
      <c r="I7" s="150"/>
      <c r="J7" s="138" t="e">
        <f aca="false">I6&amp;".1"</f>
        <v>#N/A</v>
      </c>
      <c r="K7" s="238"/>
      <c r="L7" s="497" t="s">
        <v>403</v>
      </c>
      <c r="M7" s="42"/>
      <c r="N7" s="42"/>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238"/>
      <c r="B8" s="238"/>
      <c r="C8" s="238"/>
      <c r="D8" s="238"/>
      <c r="E8" s="496"/>
      <c r="F8" s="496"/>
      <c r="G8" s="496"/>
      <c r="H8" s="496"/>
      <c r="I8" s="150"/>
      <c r="J8" s="150"/>
      <c r="K8" s="138" t="e">
        <f aca="false">J7&amp;".1"</f>
        <v>#N/A</v>
      </c>
      <c r="L8" s="497" t="s">
        <v>406</v>
      </c>
      <c r="M8" s="42"/>
      <c r="N8" s="42"/>
      <c r="O8" s="42"/>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238"/>
      <c r="B9" s="238"/>
      <c r="C9" s="238"/>
      <c r="D9" s="238"/>
      <c r="E9" s="496"/>
      <c r="F9" s="496"/>
      <c r="G9" s="496"/>
      <c r="H9" s="496"/>
      <c r="I9" s="150"/>
      <c r="J9" s="150"/>
      <c r="K9" s="138"/>
      <c r="L9" s="497"/>
      <c r="M9" s="42"/>
      <c r="N9" s="42"/>
      <c r="O9" s="42"/>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238"/>
      <c r="B10" s="238"/>
      <c r="C10" s="238"/>
      <c r="D10" s="238"/>
      <c r="E10" s="496"/>
      <c r="F10" s="496"/>
      <c r="G10" s="496"/>
      <c r="H10" s="496"/>
      <c r="I10" s="150"/>
      <c r="J10" s="138"/>
      <c r="K10" s="238"/>
      <c r="L10" s="497"/>
      <c r="M10" s="42"/>
      <c r="N10" s="42"/>
      <c r="P10" s="125"/>
      <c r="Q10" s="125"/>
      <c r="R10" s="435"/>
      <c r="S10" s="447"/>
      <c r="T10" s="448"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238"/>
      <c r="B11" s="238"/>
      <c r="C11" s="238"/>
      <c r="D11" s="238"/>
      <c r="E11" s="496"/>
      <c r="F11" s="496"/>
      <c r="G11" s="496"/>
      <c r="H11" s="496"/>
      <c r="I11" s="150"/>
      <c r="J11" s="238"/>
      <c r="K11" s="238"/>
      <c r="L11" s="497"/>
      <c r="M11" s="42"/>
      <c r="P11" s="125"/>
      <c r="Q11" s="125"/>
      <c r="R11" s="435"/>
      <c r="S11" s="447"/>
      <c r="T11" s="450"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238"/>
      <c r="B12" s="238"/>
      <c r="C12" s="238"/>
      <c r="D12" s="238"/>
      <c r="E12" s="496"/>
      <c r="F12" s="496"/>
      <c r="G12" s="496"/>
      <c r="H12" s="496"/>
      <c r="I12" s="238"/>
      <c r="J12" s="238"/>
      <c r="K12" s="238"/>
      <c r="L12" s="497"/>
      <c r="M12" s="77"/>
      <c r="N12" s="77"/>
      <c r="O12" s="42"/>
      <c r="P12" s="136"/>
      <c r="Q12" s="453"/>
      <c r="R12" s="421"/>
      <c r="S12" s="447"/>
      <c r="T12" s="454" t="s">
        <v>410</v>
      </c>
      <c r="U12" s="196"/>
      <c r="V12" s="196"/>
      <c r="W12" s="196"/>
      <c r="X12" s="196"/>
      <c r="Y12" s="196"/>
      <c r="Z12" s="196"/>
      <c r="AA12" s="196"/>
      <c r="AB12" s="196"/>
      <c r="AC12" s="451"/>
      <c r="AD12" s="196"/>
      <c r="AE12" s="196"/>
      <c r="AF12" s="196"/>
      <c r="AG12" s="196"/>
      <c r="AH12" s="196"/>
      <c r="AI12" s="196"/>
      <c r="AJ12" s="196"/>
      <c r="AK12" s="451"/>
      <c r="AL12" s="196"/>
      <c r="AM12" s="452"/>
      <c r="AO12" s="122"/>
      <c r="AP12" s="122" t="str">
        <f aca="false">IF(T12="","",T12)</f>
        <v>Добавить схему подключения</v>
      </c>
      <c r="AQ12" s="122"/>
      <c r="AR12" s="122"/>
      <c r="AS12" s="42" t="n">
        <v>0</v>
      </c>
    </row>
    <row r="13" s="49" customFormat="true" ht="0.75" hidden="true" customHeight="true" outlineLevel="0" collapsed="false">
      <c r="A13" s="238"/>
      <c r="B13" s="238"/>
      <c r="C13" s="238"/>
      <c r="D13" s="238"/>
      <c r="E13" s="496"/>
      <c r="F13" s="496"/>
      <c r="G13" s="496"/>
      <c r="H13" s="238"/>
      <c r="I13" s="238"/>
      <c r="J13" s="238"/>
      <c r="K13" s="238"/>
      <c r="L13" s="497"/>
      <c r="M13" s="77"/>
      <c r="N13" s="77"/>
      <c r="O13" s="4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238"/>
      <c r="B14" s="238"/>
      <c r="C14" s="238"/>
      <c r="D14" s="238"/>
      <c r="E14" s="496"/>
      <c r="F14" s="496"/>
      <c r="G14" s="238"/>
      <c r="H14" s="238"/>
      <c r="I14" s="238"/>
      <c r="J14" s="238"/>
      <c r="K14" s="238"/>
      <c r="L14" s="497"/>
      <c r="M14" s="503"/>
      <c r="N14" s="503"/>
      <c r="O14" s="42"/>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238"/>
      <c r="B15" s="238"/>
      <c r="C15" s="238"/>
      <c r="D15" s="238"/>
      <c r="E15" s="496"/>
      <c r="F15" s="238"/>
      <c r="G15" s="238"/>
      <c r="H15" s="238"/>
      <c r="I15" s="238"/>
      <c r="J15" s="238"/>
      <c r="K15" s="238"/>
      <c r="L15" s="497"/>
      <c r="M15" s="503"/>
      <c r="N15" s="503"/>
      <c r="O15" s="42"/>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14.25" hidden="true" customHeight="true" outlineLevel="0" collapsed="false">
      <c r="A20" s="42"/>
      <c r="B20" s="42"/>
      <c r="C20" s="42"/>
      <c r="D20" s="42"/>
      <c r="E20" s="42"/>
      <c r="F20" s="42"/>
      <c r="G20" s="42"/>
      <c r="H20" s="42"/>
      <c r="I20" s="42"/>
      <c r="J20" s="42"/>
      <c r="K20" s="42"/>
      <c r="L20" s="43"/>
      <c r="M20" s="52"/>
      <c r="N20" s="52"/>
      <c r="O20" s="502"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A21" s="42"/>
      <c r="B21" s="42"/>
      <c r="C21" s="42"/>
      <c r="D21" s="42"/>
      <c r="E21" s="42"/>
      <c r="F21" s="42"/>
      <c r="G21" s="42"/>
      <c r="H21" s="42"/>
      <c r="I21" s="42"/>
      <c r="J21" s="42"/>
      <c r="K21" s="42"/>
      <c r="L21" s="43"/>
      <c r="M21" s="52"/>
      <c r="N21" s="52"/>
      <c r="O21" s="52"/>
      <c r="P21" s="53"/>
      <c r="Q21" s="469"/>
      <c r="R21" s="469"/>
      <c r="S21" s="420"/>
      <c r="AN21" s="49"/>
      <c r="AO21" s="49"/>
      <c r="AP21" s="49"/>
      <c r="AQ21" s="49"/>
      <c r="AR21" s="49"/>
      <c r="AS21" s="45" t="n">
        <v>0</v>
      </c>
    </row>
    <row r="22" s="45" customFormat="true" ht="14.25" hidden="true" customHeight="true" outlineLevel="0" collapsed="false">
      <c r="A22" s="42"/>
      <c r="B22" s="42"/>
      <c r="C22" s="42"/>
      <c r="D22" s="42"/>
      <c r="E22" s="42"/>
      <c r="F22" s="42"/>
      <c r="G22" s="42"/>
      <c r="H22" s="42"/>
      <c r="I22" s="42"/>
      <c r="J22" s="42"/>
      <c r="K22" s="42"/>
      <c r="L22" s="43"/>
      <c r="M22" s="52"/>
      <c r="N22" s="52"/>
      <c r="O22" s="497"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97"/>
      <c r="AS23" s="42" t="n">
        <v>0</v>
      </c>
    </row>
    <row r="24" customFormat="false" ht="14.25" hidden="true" customHeight="true" outlineLevel="0" collapsed="false">
      <c r="O24" s="497"/>
      <c r="AS24" s="42" t="n">
        <v>0</v>
      </c>
    </row>
    <row r="25" customFormat="false" ht="14.25" hidden="false" customHeight="true" outlineLevel="0" collapsed="false">
      <c r="Q25" s="470"/>
      <c r="R25" s="470"/>
      <c r="S25" s="471"/>
      <c r="T25" s="83"/>
      <c r="U25" s="83"/>
      <c r="AS25" s="42" t="n">
        <v>14</v>
      </c>
    </row>
    <row r="26" customFormat="false" ht="14.25" hidden="false" customHeight="true" outlineLevel="0" collapsed="false">
      <c r="Q26" s="470"/>
      <c r="R26" s="470"/>
      <c r="S26" s="215"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5"/>
      <c r="U26" s="215"/>
      <c r="V26" s="215"/>
      <c r="W26" s="215"/>
      <c r="X26" s="215"/>
      <c r="Y26" s="215"/>
      <c r="Z26" s="215"/>
      <c r="AA26" s="215"/>
      <c r="AB26" s="215"/>
      <c r="AC26" s="215"/>
      <c r="AD26" s="215"/>
      <c r="AE26" s="215"/>
      <c r="AF26" s="215"/>
      <c r="AG26" s="215"/>
      <c r="AH26" s="215"/>
      <c r="AI26" s="215"/>
      <c r="AJ26" s="215"/>
      <c r="AK26" s="217"/>
      <c r="AS26" s="42" t="n">
        <v>14</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00"/>
      <c r="B29" s="100"/>
      <c r="C29" s="100"/>
      <c r="D29" s="100"/>
      <c r="E29" s="100"/>
      <c r="F29" s="100"/>
      <c r="G29" s="100"/>
      <c r="H29" s="100"/>
      <c r="I29" s="100"/>
      <c r="J29" s="100"/>
      <c r="K29" s="100"/>
      <c r="L29" s="497"/>
      <c r="M29" s="100"/>
      <c r="N29" s="100"/>
      <c r="O29" s="100"/>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00"/>
      <c r="B30" s="100"/>
      <c r="C30" s="100"/>
      <c r="D30" s="100"/>
      <c r="E30" s="100"/>
      <c r="F30" s="100"/>
      <c r="G30" s="100"/>
      <c r="H30" s="100"/>
      <c r="I30" s="100"/>
      <c r="J30" s="100"/>
      <c r="K30" s="100"/>
      <c r="L30" s="497"/>
      <c r="M30" s="100"/>
      <c r="N30" s="100"/>
      <c r="O30" s="100"/>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00"/>
      <c r="B31" s="100"/>
      <c r="C31" s="100"/>
      <c r="D31" s="100"/>
      <c r="E31" s="100"/>
      <c r="F31" s="100"/>
      <c r="G31" s="100"/>
      <c r="H31" s="100"/>
      <c r="I31" s="100"/>
      <c r="J31" s="100"/>
      <c r="K31" s="100"/>
      <c r="L31" s="497"/>
      <c r="M31" s="100"/>
      <c r="N31" s="100"/>
      <c r="O31" s="100"/>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00"/>
      <c r="B32" s="100"/>
      <c r="C32" s="100"/>
      <c r="D32" s="100"/>
      <c r="E32" s="100"/>
      <c r="F32" s="100"/>
      <c r="G32" s="100"/>
      <c r="H32" s="100"/>
      <c r="I32" s="100"/>
      <c r="J32" s="100"/>
      <c r="K32" s="100"/>
      <c r="L32" s="497"/>
      <c r="M32" s="100"/>
      <c r="N32" s="100"/>
      <c r="O32" s="100"/>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00"/>
      <c r="B34" s="100"/>
      <c r="C34" s="100"/>
      <c r="D34" s="100"/>
      <c r="E34" s="100"/>
      <c r="F34" s="100"/>
      <c r="G34" s="100"/>
      <c r="H34" s="100"/>
      <c r="I34" s="100"/>
      <c r="J34" s="100"/>
      <c r="K34" s="100"/>
      <c r="L34" s="497"/>
      <c r="M34" s="100"/>
      <c r="N34" s="100"/>
      <c r="O34" s="100"/>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00"/>
      <c r="B35" s="100"/>
      <c r="C35" s="100"/>
      <c r="D35" s="100"/>
      <c r="E35" s="100"/>
      <c r="F35" s="100"/>
      <c r="G35" s="100"/>
      <c r="H35" s="100"/>
      <c r="I35" s="100"/>
      <c r="J35" s="100"/>
      <c r="K35" s="100"/>
      <c r="L35" s="497"/>
      <c r="M35" s="100"/>
      <c r="N35" s="100"/>
      <c r="O35" s="100"/>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00"/>
      <c r="B36" s="100"/>
      <c r="C36" s="100"/>
      <c r="D36" s="100"/>
      <c r="E36" s="100"/>
      <c r="F36" s="100"/>
      <c r="G36" s="100"/>
      <c r="H36" s="100"/>
      <c r="I36" s="100"/>
      <c r="J36" s="100"/>
      <c r="K36" s="100"/>
      <c r="L36" s="497"/>
      <c r="M36" s="100"/>
      <c r="N36" s="100"/>
      <c r="O36" s="100"/>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t="s">
        <v>431</v>
      </c>
      <c r="X40" s="138" t="s">
        <v>432</v>
      </c>
      <c r="Y40" s="138"/>
      <c r="Z40" s="138" t="s">
        <v>446</v>
      </c>
      <c r="AA40" s="138"/>
      <c r="AB40" s="138"/>
      <c r="AC40" s="395"/>
      <c r="AD40" s="484" t="s">
        <v>430</v>
      </c>
      <c r="AE40" s="434" t="s">
        <v>431</v>
      </c>
      <c r="AF40" s="138" t="s">
        <v>432</v>
      </c>
      <c r="AG40" s="138"/>
      <c r="AH40" s="138" t="s">
        <v>433</v>
      </c>
      <c r="AI40" s="138"/>
      <c r="AJ40" s="138"/>
      <c r="AK40" s="395"/>
      <c r="AL40" s="482"/>
      <c r="AM40" s="138"/>
      <c r="AS40" s="42" t="n">
        <v>34</v>
      </c>
    </row>
    <row r="41" customFormat="false" ht="35.25" hidden="false" customHeight="true" outlineLevel="0" collapsed="false">
      <c r="A41" s="100"/>
      <c r="B41" s="100" t="s">
        <v>134</v>
      </c>
      <c r="C41" s="100" t="s">
        <v>135</v>
      </c>
      <c r="D41" s="100" t="s">
        <v>136</v>
      </c>
      <c r="E41" s="497" t="s">
        <v>434</v>
      </c>
      <c r="F41" s="497" t="s">
        <v>435</v>
      </c>
      <c r="G41" s="497" t="s">
        <v>436</v>
      </c>
      <c r="H41" s="497" t="s">
        <v>437</v>
      </c>
      <c r="I41" s="497" t="s">
        <v>438</v>
      </c>
      <c r="J41" s="497" t="s">
        <v>439</v>
      </c>
      <c r="K41" s="497" t="s">
        <v>440</v>
      </c>
      <c r="L41" s="497"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00"/>
      <c r="B42" s="100"/>
      <c r="C42" s="100"/>
      <c r="D42" s="100"/>
      <c r="E42" s="100"/>
      <c r="F42" s="100"/>
      <c r="G42" s="100"/>
      <c r="H42" s="100"/>
      <c r="I42" s="100"/>
      <c r="J42" s="100"/>
      <c r="K42" s="100"/>
      <c r="L42" s="497"/>
      <c r="M42" s="52"/>
      <c r="N42" s="52"/>
      <c r="O42" s="52"/>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238" t="s">
        <v>209</v>
      </c>
      <c r="B43" s="238"/>
      <c r="C43" s="238"/>
      <c r="D43" s="238"/>
      <c r="E43" s="496" t="n">
        <v>1</v>
      </c>
      <c r="F43" s="238"/>
      <c r="G43" s="238"/>
      <c r="H43" s="238"/>
      <c r="I43" s="238"/>
      <c r="J43" s="238"/>
      <c r="K43" s="238"/>
      <c r="L43" s="497"/>
      <c r="M43" s="77"/>
      <c r="N43" s="77"/>
      <c r="O43" s="77"/>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238" t="s">
        <v>209</v>
      </c>
      <c r="B44" s="238" t="s">
        <v>210</v>
      </c>
      <c r="C44" s="238"/>
      <c r="D44" s="238"/>
      <c r="E44" s="496"/>
      <c r="F44" s="496" t="n">
        <v>1</v>
      </c>
      <c r="G44" s="238"/>
      <c r="H44" s="238"/>
      <c r="I44" s="238"/>
      <c r="J44" s="238"/>
      <c r="K44" s="238"/>
      <c r="L44" s="497"/>
      <c r="M44" s="77"/>
      <c r="N44" s="77"/>
      <c r="O44" s="77"/>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238" t="s">
        <v>209</v>
      </c>
      <c r="B45" s="238" t="s">
        <v>210</v>
      </c>
      <c r="C45" s="238" t="s">
        <v>211</v>
      </c>
      <c r="D45" s="238"/>
      <c r="E45" s="496"/>
      <c r="F45" s="496"/>
      <c r="G45" s="496" t="n">
        <v>1</v>
      </c>
      <c r="H45" s="238"/>
      <c r="I45" s="238"/>
      <c r="J45" s="238"/>
      <c r="K45" s="238"/>
      <c r="L45" s="497"/>
      <c r="M45" s="77"/>
      <c r="N45" s="77"/>
      <c r="O45" s="77"/>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238" t="s">
        <v>209</v>
      </c>
      <c r="B46" s="238" t="s">
        <v>210</v>
      </c>
      <c r="C46" s="238" t="s">
        <v>211</v>
      </c>
      <c r="D46" s="238" t="s">
        <v>212</v>
      </c>
      <c r="E46" s="496"/>
      <c r="F46" s="496"/>
      <c r="G46" s="496"/>
      <c r="H46" s="496" t="n">
        <v>1</v>
      </c>
      <c r="I46" s="238"/>
      <c r="J46" s="238"/>
      <c r="K46" s="238"/>
      <c r="L46" s="497"/>
      <c r="M46" s="77"/>
      <c r="N46" s="77"/>
      <c r="O46" s="77"/>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customFormat="false" ht="49.5" hidden="false" customHeight="true" outlineLevel="0" collapsed="false">
      <c r="A47" s="238" t="s">
        <v>209</v>
      </c>
      <c r="B47" s="238" t="s">
        <v>210</v>
      </c>
      <c r="C47" s="238" t="s">
        <v>211</v>
      </c>
      <c r="D47" s="238" t="s">
        <v>212</v>
      </c>
      <c r="E47" s="496"/>
      <c r="F47" s="496"/>
      <c r="G47" s="496"/>
      <c r="H47" s="496"/>
      <c r="I47" s="150" t="str">
        <f aca="false">S46&amp;".1"</f>
        <v>....1</v>
      </c>
      <c r="J47" s="238"/>
      <c r="K47" s="238"/>
      <c r="L47" s="497" t="s">
        <v>400</v>
      </c>
      <c r="P47" s="125" t="n">
        <v>1</v>
      </c>
      <c r="Q47" s="125"/>
      <c r="R47" s="435"/>
      <c r="S47" s="422" t="str">
        <f aca="false">$I47</f>
        <v>....1</v>
      </c>
      <c r="T47" s="436" t="s">
        <v>401</v>
      </c>
      <c r="U47" s="424"/>
      <c r="V47" s="437"/>
      <c r="W47" s="437"/>
      <c r="X47" s="437"/>
      <c r="Y47" s="437"/>
      <c r="Z47" s="437"/>
      <c r="AA47" s="437"/>
      <c r="AB47" s="437"/>
      <c r="AC47" s="437"/>
      <c r="AD47" s="437"/>
      <c r="AE47" s="437"/>
      <c r="AF47" s="437"/>
      <c r="AG47" s="437"/>
      <c r="AH47" s="437"/>
      <c r="AI47" s="437"/>
      <c r="AJ47" s="437"/>
      <c r="AK47" s="437"/>
      <c r="AL47" s="437"/>
      <c r="AM47" s="427" t="s">
        <v>402</v>
      </c>
      <c r="AO47" s="122"/>
      <c r="AP47" s="122" t="str">
        <f aca="false">IF(T47="","",T47)</f>
        <v>Схема подключения теплопотребляющей установки к коллектору источника тепловой энергии</v>
      </c>
      <c r="AQ47" s="122"/>
      <c r="AR47" s="122"/>
      <c r="AS47" s="42" t="n">
        <v>47</v>
      </c>
    </row>
    <row r="48" customFormat="false" ht="21.75" hidden="false" customHeight="true" outlineLevel="0" collapsed="false">
      <c r="A48" s="238" t="s">
        <v>209</v>
      </c>
      <c r="B48" s="238" t="s">
        <v>210</v>
      </c>
      <c r="C48" s="238" t="s">
        <v>211</v>
      </c>
      <c r="D48" s="238" t="s">
        <v>212</v>
      </c>
      <c r="E48" s="496"/>
      <c r="F48" s="496"/>
      <c r="G48" s="496"/>
      <c r="H48" s="496"/>
      <c r="I48" s="150"/>
      <c r="J48" s="138" t="str">
        <f aca="false">I47&amp;".1"</f>
        <v>....1.1</v>
      </c>
      <c r="K48" s="238"/>
      <c r="L48" s="497" t="s">
        <v>403</v>
      </c>
      <c r="P48" s="125"/>
      <c r="Q48" s="125" t="n">
        <v>1</v>
      </c>
      <c r="R48" s="438"/>
      <c r="S48" s="422" t="str">
        <f aca="false">$J48</f>
        <v>....1.1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238" t="s">
        <v>209</v>
      </c>
      <c r="B49" s="238" t="s">
        <v>210</v>
      </c>
      <c r="C49" s="238" t="s">
        <v>211</v>
      </c>
      <c r="D49" s="238" t="s">
        <v>212</v>
      </c>
      <c r="E49" s="496"/>
      <c r="F49" s="496"/>
      <c r="G49" s="496"/>
      <c r="H49" s="496"/>
      <c r="I49" s="150"/>
      <c r="J49" s="150"/>
      <c r="K49" s="138" t="str">
        <f aca="false">J48&amp;".1"</f>
        <v>....1.1.1</v>
      </c>
      <c r="L49" s="497" t="s">
        <v>406</v>
      </c>
      <c r="P49" s="125"/>
      <c r="Q49" s="125"/>
      <c r="R49" s="438" t="n">
        <v>1</v>
      </c>
      <c r="S49" s="422" t="str">
        <f aca="false">$K49</f>
        <v>....1.1.1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407</v>
      </c>
      <c r="AN49" s="49" t="e">
        <f aca="false">strcheckdate(V50:AL50)</f>
        <v>#NAME?</v>
      </c>
      <c r="AO49" s="122"/>
      <c r="AP49" s="122" t="str">
        <f aca="false">IF(T49="","",T49)</f>
        <v/>
      </c>
      <c r="AQ49" s="122"/>
      <c r="AR49" s="122"/>
      <c r="AS49" s="42" t="n">
        <v>21</v>
      </c>
    </row>
    <row r="50" customFormat="false" ht="0.75" hidden="false" customHeight="true" outlineLevel="0" collapsed="false">
      <c r="A50" s="238" t="s">
        <v>209</v>
      </c>
      <c r="B50" s="238" t="s">
        <v>210</v>
      </c>
      <c r="C50" s="238" t="s">
        <v>211</v>
      </c>
      <c r="D50" s="238" t="s">
        <v>212</v>
      </c>
      <c r="E50" s="496"/>
      <c r="F50" s="496"/>
      <c r="G50" s="496"/>
      <c r="H50" s="496"/>
      <c r="I50" s="150"/>
      <c r="J50" s="150"/>
      <c r="K50" s="138"/>
      <c r="L50" s="497"/>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238" t="s">
        <v>209</v>
      </c>
      <c r="B51" s="238" t="s">
        <v>210</v>
      </c>
      <c r="C51" s="238" t="s">
        <v>211</v>
      </c>
      <c r="D51" s="238" t="s">
        <v>212</v>
      </c>
      <c r="E51" s="496"/>
      <c r="F51" s="496"/>
      <c r="G51" s="496"/>
      <c r="H51" s="496"/>
      <c r="I51" s="150"/>
      <c r="J51" s="138"/>
      <c r="K51" s="238"/>
      <c r="L51" s="497"/>
      <c r="P51" s="125"/>
      <c r="Q51" s="125"/>
      <c r="R51" s="435"/>
      <c r="S51" s="447"/>
      <c r="T51" s="448"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238" t="s">
        <v>209</v>
      </c>
      <c r="B52" s="238" t="s">
        <v>210</v>
      </c>
      <c r="C52" s="238" t="s">
        <v>211</v>
      </c>
      <c r="D52" s="238" t="s">
        <v>212</v>
      </c>
      <c r="E52" s="496"/>
      <c r="F52" s="496"/>
      <c r="G52" s="496"/>
      <c r="H52" s="496"/>
      <c r="I52" s="150"/>
      <c r="J52" s="238"/>
      <c r="K52" s="238"/>
      <c r="L52" s="497"/>
      <c r="P52" s="125"/>
      <c r="Q52" s="125"/>
      <c r="R52" s="435"/>
      <c r="S52" s="447"/>
      <c r="T52" s="450"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25" hidden="false" customHeight="true" outlineLevel="0" collapsed="false">
      <c r="A53" s="238" t="s">
        <v>209</v>
      </c>
      <c r="B53" s="238" t="s">
        <v>210</v>
      </c>
      <c r="C53" s="238" t="s">
        <v>211</v>
      </c>
      <c r="D53" s="238" t="s">
        <v>212</v>
      </c>
      <c r="E53" s="496"/>
      <c r="F53" s="496"/>
      <c r="G53" s="496"/>
      <c r="H53" s="496"/>
      <c r="I53" s="238"/>
      <c r="J53" s="238"/>
      <c r="K53" s="238"/>
      <c r="L53" s="497"/>
      <c r="M53" s="77"/>
      <c r="N53" s="77"/>
      <c r="O53" s="42"/>
      <c r="P53" s="136"/>
      <c r="Q53" s="453"/>
      <c r="R53" s="421"/>
      <c r="S53" s="447"/>
      <c r="T53" s="454" t="s">
        <v>410</v>
      </c>
      <c r="U53" s="196"/>
      <c r="V53" s="196"/>
      <c r="W53" s="196"/>
      <c r="X53" s="196"/>
      <c r="Y53" s="196"/>
      <c r="Z53" s="196"/>
      <c r="AA53" s="196"/>
      <c r="AB53" s="196"/>
      <c r="AC53" s="451"/>
      <c r="AD53" s="196"/>
      <c r="AE53" s="196"/>
      <c r="AF53" s="196"/>
      <c r="AG53" s="196"/>
      <c r="AH53" s="196"/>
      <c r="AI53" s="196"/>
      <c r="AJ53" s="196"/>
      <c r="AK53" s="451"/>
      <c r="AL53" s="196"/>
      <c r="AM53" s="452"/>
      <c r="AO53" s="122"/>
      <c r="AP53" s="122" t="str">
        <f aca="false">IF(T53="","",T53)</f>
        <v>Добавить схему подключения</v>
      </c>
      <c r="AQ53" s="122"/>
      <c r="AR53" s="122"/>
      <c r="AS53" s="42" t="n">
        <v>14</v>
      </c>
    </row>
    <row r="54" s="49" customFormat="true" ht="0.75" hidden="false" customHeight="true" outlineLevel="0" collapsed="false">
      <c r="A54" s="238" t="s">
        <v>209</v>
      </c>
      <c r="B54" s="238" t="s">
        <v>210</v>
      </c>
      <c r="C54" s="238" t="s">
        <v>211</v>
      </c>
      <c r="D54" s="238"/>
      <c r="E54" s="496"/>
      <c r="F54" s="496"/>
      <c r="G54" s="496"/>
      <c r="H54" s="238"/>
      <c r="I54" s="238"/>
      <c r="J54" s="238"/>
      <c r="K54" s="238"/>
      <c r="L54" s="497"/>
      <c r="M54" s="77"/>
      <c r="N54" s="77"/>
      <c r="O54" s="4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238" t="s">
        <v>209</v>
      </c>
      <c r="B55" s="238" t="s">
        <v>210</v>
      </c>
      <c r="C55" s="238"/>
      <c r="D55" s="238"/>
      <c r="E55" s="496"/>
      <c r="F55" s="496"/>
      <c r="G55" s="238"/>
      <c r="H55" s="238"/>
      <c r="I55" s="238"/>
      <c r="J55" s="238"/>
      <c r="K55" s="238"/>
      <c r="L55" s="497"/>
      <c r="M55" s="503"/>
      <c r="N55" s="503"/>
      <c r="O55" s="42"/>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238" t="s">
        <v>209</v>
      </c>
      <c r="B56" s="238"/>
      <c r="C56" s="238"/>
      <c r="D56" s="238"/>
      <c r="E56" s="496"/>
      <c r="F56" s="238"/>
      <c r="G56" s="238"/>
      <c r="H56" s="238"/>
      <c r="I56" s="238"/>
      <c r="J56" s="238"/>
      <c r="K56" s="238"/>
      <c r="L56" s="497"/>
      <c r="M56" s="503"/>
      <c r="N56" s="503"/>
      <c r="O56" s="42"/>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238"/>
      <c r="B57" s="238"/>
      <c r="C57" s="238"/>
      <c r="D57" s="238"/>
      <c r="E57" s="238"/>
      <c r="F57" s="238"/>
      <c r="G57" s="238"/>
      <c r="H57" s="238"/>
      <c r="I57" s="238"/>
      <c r="J57" s="238"/>
      <c r="K57" s="238"/>
      <c r="L57" s="497"/>
      <c r="M57" s="503"/>
      <c r="N57" s="503"/>
      <c r="O57" s="42"/>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2"/>
      <c r="N58" s="42"/>
      <c r="O58" s="42"/>
      <c r="P58" s="42"/>
      <c r="Q58" s="42"/>
      <c r="R58" s="42"/>
      <c r="S58" s="42"/>
      <c r="AN58" s="42"/>
      <c r="AO58" s="42"/>
      <c r="AP58" s="42"/>
      <c r="AQ58" s="42"/>
      <c r="AR58" s="42"/>
      <c r="AS58" s="42" t="n">
        <v>11</v>
      </c>
    </row>
    <row r="59" customFormat="false" ht="28.5" hidden="false" customHeight="true" outlineLevel="0" collapsed="false">
      <c r="O59" s="42"/>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27</v>
      </c>
    </row>
    <row r="60" customFormat="false" ht="65.25" hidden="false" customHeight="true" outlineLevel="0" collapsed="false">
      <c r="O60" s="42"/>
      <c r="T60" s="495"/>
      <c r="U60" s="495"/>
      <c r="V60" s="495"/>
      <c r="W60" s="495"/>
      <c r="X60" s="495"/>
      <c r="Y60" s="495"/>
      <c r="Z60" s="495"/>
      <c r="AA60" s="495"/>
      <c r="AB60" s="495"/>
      <c r="AC60" s="495"/>
      <c r="AD60" s="495"/>
      <c r="AE60" s="495"/>
      <c r="AF60" s="495"/>
      <c r="AG60" s="495"/>
      <c r="AH60" s="495"/>
      <c r="AI60" s="495"/>
      <c r="AJ60" s="495"/>
      <c r="AK60" s="495"/>
      <c r="AL60" s="495"/>
      <c r="AM60" s="495"/>
      <c r="AS60" s="42" t="n">
        <v>62</v>
      </c>
    </row>
    <row r="61" customFormat="false" ht="14.25" hidden="false" customHeight="true" outlineLevel="0" collapsed="false">
      <c r="O61" s="42"/>
      <c r="AS61" s="42" t="n">
        <v>14</v>
      </c>
    </row>
    <row r="62" customFormat="false" ht="18.75" hidden="false" customHeight="true" outlineLevel="0" collapsed="false">
      <c r="O62" s="42"/>
      <c r="S62" s="414"/>
      <c r="T62" s="495"/>
      <c r="U62" s="495"/>
      <c r="V62" s="495"/>
      <c r="W62" s="495"/>
      <c r="X62" s="495"/>
      <c r="Y62" s="495"/>
      <c r="Z62" s="495"/>
      <c r="AA62" s="495"/>
      <c r="AB62" s="495"/>
      <c r="AC62" s="495"/>
      <c r="AD62" s="495"/>
      <c r="AE62" s="495"/>
      <c r="AF62" s="495"/>
      <c r="AG62" s="495"/>
      <c r="AH62" s="495"/>
      <c r="AI62" s="495"/>
      <c r="AJ62" s="495"/>
      <c r="AK62" s="495"/>
      <c r="AL62" s="495"/>
      <c r="AM62" s="495"/>
      <c r="AS62" s="42" t="n">
        <v>18</v>
      </c>
    </row>
    <row r="63" customFormat="false" ht="18.75" hidden="false" customHeight="true" outlineLevel="0" collapsed="false">
      <c r="O63" s="42"/>
      <c r="T63" s="495"/>
      <c r="U63" s="495"/>
      <c r="V63" s="495"/>
      <c r="W63" s="495"/>
      <c r="X63" s="495"/>
      <c r="Y63" s="495"/>
      <c r="Z63" s="495"/>
      <c r="AA63" s="495"/>
      <c r="AB63" s="495"/>
      <c r="AC63" s="495"/>
      <c r="AD63" s="495"/>
      <c r="AE63" s="495"/>
      <c r="AF63" s="495"/>
      <c r="AG63" s="495"/>
      <c r="AH63" s="495"/>
      <c r="AI63" s="495"/>
      <c r="AJ63" s="495"/>
      <c r="AK63" s="495"/>
      <c r="AL63" s="495"/>
      <c r="AM63" s="495"/>
      <c r="AS63" s="42" t="n">
        <v>18</v>
      </c>
    </row>
    <row r="64" customFormat="false" ht="29.25" hidden="false" customHeight="true" outlineLevel="0" collapsed="false">
      <c r="O64" s="42"/>
      <c r="S64" s="414"/>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22.5" hidden="true" customHeight="true" outlineLevel="0" collapsed="false">
      <c r="A65" s="42" t="s">
        <v>80</v>
      </c>
      <c r="B65" s="42" t="n">
        <v>0</v>
      </c>
      <c r="C65" s="42" t="n">
        <v>0</v>
      </c>
      <c r="D65" s="42" t="n">
        <v>0</v>
      </c>
      <c r="E65" s="42" t="n">
        <v>0</v>
      </c>
      <c r="F65" s="42" t="n">
        <v>0</v>
      </c>
      <c r="G65" s="42" t="n">
        <v>0</v>
      </c>
      <c r="H65" s="42" t="n">
        <v>0</v>
      </c>
      <c r="I65" s="42" t="n">
        <v>0</v>
      </c>
      <c r="J65" s="42" t="n">
        <v>0</v>
      </c>
      <c r="K65" s="42" t="n">
        <v>0</v>
      </c>
      <c r="L65" s="43" t="n">
        <v>0</v>
      </c>
      <c r="M65" s="52" t="n">
        <v>0</v>
      </c>
      <c r="N65" s="52" t="n">
        <v>0</v>
      </c>
      <c r="O65" s="52" t="n">
        <v>0</v>
      </c>
      <c r="P65" s="52" t="n">
        <v>3</v>
      </c>
      <c r="Q65" s="416" t="n">
        <v>3</v>
      </c>
      <c r="R65" s="416" t="n">
        <v>3</v>
      </c>
      <c r="S65" s="77"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9" t="n">
        <v>10</v>
      </c>
      <c r="AO65" s="49" t="n">
        <v>10</v>
      </c>
      <c r="AP65" s="49" t="n">
        <v>10</v>
      </c>
      <c r="AQ65" s="49" t="n">
        <v>10</v>
      </c>
      <c r="AR65" s="49"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true" outlineLevel="0" max="21" min="21" style="42" width="0.71"/>
    <col collapsed="false" customWidth="true" hidden="true" outlineLevel="0" max="22" min="22" style="42" width="1.71"/>
    <col collapsed="false" customWidth="true" hidden="true" outlineLevel="0" max="23" min="23" style="42" width="24.71"/>
    <col collapsed="false" customWidth="true" hidden="true" outlineLevel="0" max="25" min="24" style="42" width="0.15"/>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0.15"/>
    <col collapsed="false" customWidth="true" hidden="false" outlineLevel="0" max="31" min="31" style="42" width="24"/>
    <col collapsed="false" customWidth="true" hidden="false" outlineLevel="0" max="33" min="32" style="42" width="0.15"/>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47.25" hidden="true" customHeight="true" outlineLevel="0" collapsed="false">
      <c r="A6" s="417"/>
      <c r="B6" s="417"/>
      <c r="C6" s="417"/>
      <c r="D6" s="417"/>
      <c r="E6" s="418"/>
      <c r="F6" s="418"/>
      <c r="G6" s="418"/>
      <c r="H6" s="418"/>
      <c r="I6" s="434" t="e">
        <f aca="false">S5&amp;".1"</f>
        <v>#N/A</v>
      </c>
      <c r="J6" s="417"/>
      <c r="K6" s="417"/>
      <c r="L6" s="419" t="s">
        <v>400</v>
      </c>
      <c r="M6" s="45"/>
      <c r="P6" s="125" t="n">
        <v>1</v>
      </c>
      <c r="Q6" s="125"/>
      <c r="R6" s="435"/>
      <c r="S6" s="422" t="e">
        <f aca="false">$I6</f>
        <v>#N/A</v>
      </c>
      <c r="T6" s="436" t="s">
        <v>401</v>
      </c>
      <c r="U6" s="424"/>
      <c r="V6" s="437"/>
      <c r="W6" s="437"/>
      <c r="X6" s="437"/>
      <c r="Y6" s="437"/>
      <c r="Z6" s="437"/>
      <c r="AA6" s="437"/>
      <c r="AB6" s="437"/>
      <c r="AC6" s="437"/>
      <c r="AD6" s="437"/>
      <c r="AE6" s="437"/>
      <c r="AF6" s="437"/>
      <c r="AG6" s="437"/>
      <c r="AH6" s="437"/>
      <c r="AI6" s="437"/>
      <c r="AJ6" s="437"/>
      <c r="AK6" s="437"/>
      <c r="AL6" s="437"/>
      <c r="AM6" s="427" t="s">
        <v>402</v>
      </c>
      <c r="AO6" s="122"/>
      <c r="AP6" s="122" t="str">
        <f aca="false">IF(T6="","",T6)</f>
        <v>Схема подключения теплопотребляющей установки к коллектору источника тепловой энергии</v>
      </c>
      <c r="AQ6" s="122"/>
      <c r="AR6" s="122"/>
      <c r="AS6" s="42" t="n">
        <v>0</v>
      </c>
    </row>
    <row r="7" customFormat="false" ht="21"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422" t="e">
        <f aca="false">$K8</f>
        <v>#N/A</v>
      </c>
      <c r="T8" s="440"/>
      <c r="U8" s="424"/>
      <c r="V8" s="442"/>
      <c r="W8" s="441"/>
      <c r="X8" s="442"/>
      <c r="Y8" s="504"/>
      <c r="Z8" s="444"/>
      <c r="AA8" s="206" t="s">
        <v>64</v>
      </c>
      <c r="AB8" s="444"/>
      <c r="AC8" s="206" t="s">
        <v>64</v>
      </c>
      <c r="AD8" s="442"/>
      <c r="AE8" s="441"/>
      <c r="AF8" s="442"/>
      <c r="AG8" s="504"/>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48"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417"/>
      <c r="B11" s="417"/>
      <c r="C11" s="417"/>
      <c r="D11" s="417"/>
      <c r="E11" s="418"/>
      <c r="F11" s="418"/>
      <c r="G11" s="418"/>
      <c r="H11" s="418"/>
      <c r="I11" s="434"/>
      <c r="J11" s="417"/>
      <c r="K11" s="417"/>
      <c r="L11" s="419"/>
      <c r="M11" s="45"/>
      <c r="P11" s="125"/>
      <c r="Q11" s="125"/>
      <c r="R11" s="435"/>
      <c r="S11" s="447"/>
      <c r="T11" s="450"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447"/>
      <c r="T12" s="454" t="s">
        <v>410</v>
      </c>
      <c r="U12" s="196"/>
      <c r="V12" s="196"/>
      <c r="W12" s="196"/>
      <c r="X12" s="196"/>
      <c r="Y12" s="196"/>
      <c r="Z12" s="196"/>
      <c r="AA12" s="196"/>
      <c r="AB12" s="196"/>
      <c r="AC12" s="451"/>
      <c r="AD12" s="196"/>
      <c r="AE12" s="196"/>
      <c r="AF12" s="196"/>
      <c r="AG12" s="196"/>
      <c r="AH12" s="196"/>
      <c r="AI12" s="196"/>
      <c r="AJ12" s="196"/>
      <c r="AK12" s="451"/>
      <c r="AL12" s="196"/>
      <c r="AM12" s="452"/>
      <c r="AO12" s="122"/>
      <c r="AP12" s="122" t="str">
        <f aca="false">IF(T12="","",T12)</f>
        <v>Добавить схему подключения</v>
      </c>
      <c r="AQ12" s="122"/>
      <c r="AR12" s="122"/>
      <c r="AS12" s="42" t="n">
        <v>0</v>
      </c>
    </row>
    <row r="13" s="49" customFormat="true" ht="0.7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33.7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29.25" hidden="false" customHeight="true" outlineLevel="0" collapsed="false">
      <c r="Q26" s="470"/>
      <c r="R26" s="470"/>
      <c r="S26" s="215"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5"/>
      <c r="U26" s="215"/>
      <c r="V26" s="215"/>
      <c r="W26" s="215"/>
      <c r="X26" s="215"/>
      <c r="Y26" s="215"/>
      <c r="Z26" s="215"/>
      <c r="AA26" s="215"/>
      <c r="AB26" s="215"/>
      <c r="AC26" s="215"/>
      <c r="AD26" s="215"/>
      <c r="AE26" s="215"/>
      <c r="AF26" s="215"/>
      <c r="AG26" s="215"/>
      <c r="AH26" s="215"/>
      <c r="AI26" s="215"/>
      <c r="AJ26" s="215"/>
      <c r="AK26" s="217"/>
      <c r="AS26" s="42" t="n">
        <v>28</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24" hidden="false" customHeight="true" outlineLevel="0" collapsed="false">
      <c r="Q40" s="470"/>
      <c r="R40" s="470"/>
      <c r="S40" s="480"/>
      <c r="T40" s="395"/>
      <c r="U40" s="483"/>
      <c r="V40" s="151" t="s">
        <v>430</v>
      </c>
      <c r="W40" s="505" t="s">
        <v>431</v>
      </c>
      <c r="X40" s="298" t="s">
        <v>432</v>
      </c>
      <c r="Y40" s="298"/>
      <c r="Z40" s="506" t="s">
        <v>433</v>
      </c>
      <c r="AA40" s="506"/>
      <c r="AB40" s="506"/>
      <c r="AC40" s="395"/>
      <c r="AD40" s="151" t="s">
        <v>430</v>
      </c>
      <c r="AE40" s="505" t="s">
        <v>431</v>
      </c>
      <c r="AF40" s="298" t="s">
        <v>432</v>
      </c>
      <c r="AG40" s="298"/>
      <c r="AH40" s="506" t="s">
        <v>433</v>
      </c>
      <c r="AI40" s="506"/>
      <c r="AJ40" s="506"/>
      <c r="AK40" s="395"/>
      <c r="AL40" s="482"/>
      <c r="AM40" s="138"/>
      <c r="AS40" s="42" t="n">
        <v>23</v>
      </c>
    </row>
    <row r="41" s="100" customFormat="true" ht="24"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M41" s="53"/>
      <c r="N41" s="53"/>
      <c r="O41" s="53"/>
      <c r="P41" s="52"/>
      <c r="Q41" s="470"/>
      <c r="R41" s="470"/>
      <c r="S41" s="480"/>
      <c r="T41" s="395"/>
      <c r="U41" s="485"/>
      <c r="V41" s="151"/>
      <c r="W41" s="505"/>
      <c r="X41" s="151" t="s">
        <v>441</v>
      </c>
      <c r="Y41" s="151" t="s">
        <v>442</v>
      </c>
      <c r="Z41" s="361" t="s">
        <v>443</v>
      </c>
      <c r="AA41" s="220" t="s">
        <v>444</v>
      </c>
      <c r="AB41" s="220"/>
      <c r="AC41" s="395"/>
      <c r="AD41" s="151"/>
      <c r="AE41" s="505"/>
      <c r="AF41" s="151" t="s">
        <v>441</v>
      </c>
      <c r="AG41" s="151" t="s">
        <v>442</v>
      </c>
      <c r="AH41" s="361" t="s">
        <v>443</v>
      </c>
      <c r="AI41" s="220" t="s">
        <v>444</v>
      </c>
      <c r="AJ41" s="220"/>
      <c r="AK41" s="395"/>
      <c r="AL41" s="482"/>
      <c r="AM41" s="138"/>
      <c r="AN41" s="49"/>
      <c r="AO41" s="122"/>
      <c r="AP41" s="122"/>
      <c r="AQ41" s="122"/>
      <c r="AR41" s="122"/>
      <c r="AS41" s="100" t="n">
        <v>23</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367" t="n">
        <f aca="true">OFFSET(X42,0,-1)+1</f>
        <v>1</v>
      </c>
      <c r="Y42" s="367" t="n">
        <f aca="true">OFFSET(Y42,0,-1)+1</f>
        <v>2</v>
      </c>
      <c r="Z42" s="492" t="n">
        <f aca="true">OFFSET(Z42,0,-1)+1</f>
        <v>3</v>
      </c>
      <c r="AA42" s="492" t="n">
        <f aca="true">OFFSET(AA42,0,-1)+1</f>
        <v>4</v>
      </c>
      <c r="AB42" s="492"/>
      <c r="AC42" s="492" t="n">
        <f aca="true">OFFSET(AC42,0,-2)+1</f>
        <v>5</v>
      </c>
      <c r="AD42" s="492" t="n">
        <f aca="true">OFFSET(AD42,0,-1)+1</f>
        <v>6</v>
      </c>
      <c r="AE42" s="492"/>
      <c r="AF42" s="367" t="n">
        <f aca="true">OFFSET(AF42,0,-1)+1</f>
        <v>1</v>
      </c>
      <c r="AG42" s="367"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417" t="s">
        <v>191</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417" t="s">
        <v>191</v>
      </c>
      <c r="B44" s="417" t="s">
        <v>192</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417" t="s">
        <v>191</v>
      </c>
      <c r="B45" s="417" t="s">
        <v>192</v>
      </c>
      <c r="C45" s="417" t="s">
        <v>193</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417" t="s">
        <v>191</v>
      </c>
      <c r="B46" s="417" t="s">
        <v>192</v>
      </c>
      <c r="C46" s="417" t="s">
        <v>193</v>
      </c>
      <c r="D46" s="417" t="s">
        <v>194</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customFormat="false" ht="49.5" hidden="false" customHeight="true" outlineLevel="0" collapsed="false">
      <c r="A47" s="417" t="s">
        <v>191</v>
      </c>
      <c r="B47" s="417" t="s">
        <v>192</v>
      </c>
      <c r="C47" s="417" t="s">
        <v>193</v>
      </c>
      <c r="D47" s="417" t="s">
        <v>194</v>
      </c>
      <c r="E47" s="418"/>
      <c r="F47" s="418"/>
      <c r="G47" s="418"/>
      <c r="H47" s="418"/>
      <c r="I47" s="434" t="str">
        <f aca="false">S46&amp;".1"</f>
        <v>....1</v>
      </c>
      <c r="J47" s="417"/>
      <c r="K47" s="417"/>
      <c r="L47" s="419" t="s">
        <v>400</v>
      </c>
      <c r="P47" s="125" t="n">
        <v>1</v>
      </c>
      <c r="Q47" s="125"/>
      <c r="R47" s="435"/>
      <c r="S47" s="422" t="str">
        <f aca="false">$I47</f>
        <v>....1</v>
      </c>
      <c r="T47" s="436" t="s">
        <v>401</v>
      </c>
      <c r="U47" s="424"/>
      <c r="V47" s="437"/>
      <c r="W47" s="437"/>
      <c r="X47" s="437"/>
      <c r="Y47" s="437"/>
      <c r="Z47" s="437"/>
      <c r="AA47" s="437"/>
      <c r="AB47" s="437"/>
      <c r="AC47" s="437"/>
      <c r="AD47" s="437"/>
      <c r="AE47" s="437"/>
      <c r="AF47" s="437"/>
      <c r="AG47" s="437"/>
      <c r="AH47" s="437"/>
      <c r="AI47" s="437"/>
      <c r="AJ47" s="437"/>
      <c r="AK47" s="437"/>
      <c r="AL47" s="437"/>
      <c r="AM47" s="427" t="s">
        <v>402</v>
      </c>
      <c r="AO47" s="122"/>
      <c r="AP47" s="122" t="str">
        <f aca="false">IF(T47="","",T47)</f>
        <v>Схема подключения теплопотребляющей установки к коллектору источника тепловой энергии</v>
      </c>
      <c r="AQ47" s="122"/>
      <c r="AR47" s="122"/>
      <c r="AS47" s="42" t="n">
        <v>47</v>
      </c>
    </row>
    <row r="48" customFormat="false" ht="21.75" hidden="false" customHeight="true" outlineLevel="0" collapsed="false">
      <c r="A48" s="417" t="s">
        <v>191</v>
      </c>
      <c r="B48" s="417" t="s">
        <v>192</v>
      </c>
      <c r="C48" s="417" t="s">
        <v>193</v>
      </c>
      <c r="D48" s="417" t="s">
        <v>194</v>
      </c>
      <c r="E48" s="418"/>
      <c r="F48" s="418"/>
      <c r="G48" s="418"/>
      <c r="H48" s="418"/>
      <c r="I48" s="434"/>
      <c r="J48" s="434" t="str">
        <f aca="false">I47&amp;".1"</f>
        <v>....1.1</v>
      </c>
      <c r="K48" s="417"/>
      <c r="L48" s="419" t="s">
        <v>403</v>
      </c>
      <c r="P48" s="125"/>
      <c r="Q48" s="125" t="n">
        <v>1</v>
      </c>
      <c r="R48" s="438"/>
      <c r="S48" s="422" t="str">
        <f aca="false">$J48</f>
        <v>....1.1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417" t="s">
        <v>191</v>
      </c>
      <c r="B49" s="417" t="s">
        <v>192</v>
      </c>
      <c r="C49" s="417" t="s">
        <v>193</v>
      </c>
      <c r="D49" s="417" t="s">
        <v>194</v>
      </c>
      <c r="E49" s="418"/>
      <c r="F49" s="418"/>
      <c r="G49" s="418"/>
      <c r="H49" s="418"/>
      <c r="I49" s="434"/>
      <c r="J49" s="434"/>
      <c r="K49" s="434" t="str">
        <f aca="false">J48&amp;".1"</f>
        <v>....1.1.1</v>
      </c>
      <c r="L49" s="419" t="s">
        <v>406</v>
      </c>
      <c r="P49" s="125"/>
      <c r="Q49" s="125"/>
      <c r="R49" s="438" t="n">
        <v>1</v>
      </c>
      <c r="S49" s="422" t="str">
        <f aca="false">$K49</f>
        <v>....1.1.1</v>
      </c>
      <c r="T49" s="440"/>
      <c r="U49" s="424"/>
      <c r="V49" s="442"/>
      <c r="W49" s="441"/>
      <c r="X49" s="442"/>
      <c r="Y49" s="504"/>
      <c r="Z49" s="444"/>
      <c r="AA49" s="206" t="s">
        <v>64</v>
      </c>
      <c r="AB49" s="444"/>
      <c r="AC49" s="206" t="s">
        <v>64</v>
      </c>
      <c r="AD49" s="442"/>
      <c r="AE49" s="441"/>
      <c r="AF49" s="442"/>
      <c r="AG49" s="504"/>
      <c r="AH49" s="444"/>
      <c r="AI49" s="206" t="s">
        <v>64</v>
      </c>
      <c r="AJ49" s="444"/>
      <c r="AK49" s="206" t="s">
        <v>64</v>
      </c>
      <c r="AL49" s="493"/>
      <c r="AM49" s="445" t="s">
        <v>407</v>
      </c>
      <c r="AN49" s="49" t="e">
        <f aca="false">strcheckdate(V50:AL50)</f>
        <v>#NAME?</v>
      </c>
      <c r="AO49" s="122"/>
      <c r="AP49" s="122" t="str">
        <f aca="false">IF(T49="","",T49)</f>
        <v/>
      </c>
      <c r="AQ49" s="122"/>
      <c r="AR49" s="122"/>
      <c r="AS49" s="42" t="n">
        <v>21</v>
      </c>
    </row>
    <row r="50" customFormat="false" ht="0.75" hidden="false" customHeight="true" outlineLevel="0" collapsed="false">
      <c r="A50" s="417" t="s">
        <v>191</v>
      </c>
      <c r="B50" s="417" t="s">
        <v>192</v>
      </c>
      <c r="C50" s="417" t="s">
        <v>193</v>
      </c>
      <c r="D50" s="417" t="s">
        <v>194</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417" t="s">
        <v>191</v>
      </c>
      <c r="B51" s="417" t="s">
        <v>192</v>
      </c>
      <c r="C51" s="417" t="s">
        <v>193</v>
      </c>
      <c r="D51" s="417" t="s">
        <v>194</v>
      </c>
      <c r="E51" s="418"/>
      <c r="F51" s="418"/>
      <c r="G51" s="418"/>
      <c r="H51" s="418"/>
      <c r="I51" s="434"/>
      <c r="J51" s="434"/>
      <c r="K51" s="417"/>
      <c r="L51" s="419"/>
      <c r="P51" s="125"/>
      <c r="Q51" s="125"/>
      <c r="R51" s="435"/>
      <c r="S51" s="447"/>
      <c r="T51" s="448"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191</v>
      </c>
      <c r="B52" s="417" t="s">
        <v>192</v>
      </c>
      <c r="C52" s="417" t="s">
        <v>193</v>
      </c>
      <c r="D52" s="417" t="s">
        <v>194</v>
      </c>
      <c r="E52" s="418"/>
      <c r="F52" s="418"/>
      <c r="G52" s="418"/>
      <c r="H52" s="418"/>
      <c r="I52" s="434"/>
      <c r="J52" s="417"/>
      <c r="K52" s="417"/>
      <c r="L52" s="419"/>
      <c r="P52" s="125"/>
      <c r="Q52" s="125"/>
      <c r="R52" s="435"/>
      <c r="S52" s="447"/>
      <c r="T52" s="450"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25" hidden="false" customHeight="true" outlineLevel="0" collapsed="false">
      <c r="A53" s="417" t="s">
        <v>191</v>
      </c>
      <c r="B53" s="417" t="s">
        <v>192</v>
      </c>
      <c r="C53" s="417" t="s">
        <v>193</v>
      </c>
      <c r="D53" s="417" t="s">
        <v>194</v>
      </c>
      <c r="E53" s="418"/>
      <c r="F53" s="418"/>
      <c r="G53" s="418"/>
      <c r="H53" s="418"/>
      <c r="I53" s="417"/>
      <c r="J53" s="417"/>
      <c r="K53" s="417"/>
      <c r="L53" s="419"/>
      <c r="M53" s="420"/>
      <c r="N53" s="420"/>
      <c r="O53" s="45"/>
      <c r="P53" s="136"/>
      <c r="Q53" s="453"/>
      <c r="R53" s="421"/>
      <c r="S53" s="447"/>
      <c r="T53" s="454" t="s">
        <v>410</v>
      </c>
      <c r="U53" s="196"/>
      <c r="V53" s="196"/>
      <c r="W53" s="196"/>
      <c r="X53" s="196"/>
      <c r="Y53" s="196"/>
      <c r="Z53" s="196"/>
      <c r="AA53" s="196"/>
      <c r="AB53" s="196"/>
      <c r="AC53" s="451"/>
      <c r="AD53" s="196"/>
      <c r="AE53" s="196"/>
      <c r="AF53" s="196"/>
      <c r="AG53" s="196"/>
      <c r="AH53" s="196"/>
      <c r="AI53" s="196"/>
      <c r="AJ53" s="196"/>
      <c r="AK53" s="451"/>
      <c r="AL53" s="196"/>
      <c r="AM53" s="452"/>
      <c r="AO53" s="122"/>
      <c r="AP53" s="122" t="str">
        <f aca="false">IF(T53="","",T53)</f>
        <v>Добавить схему подключения</v>
      </c>
      <c r="AQ53" s="122"/>
      <c r="AR53" s="122"/>
      <c r="AS53" s="42" t="n">
        <v>14</v>
      </c>
    </row>
    <row r="54" s="49" customFormat="true" ht="0.75" hidden="false" customHeight="true" outlineLevel="0" collapsed="false">
      <c r="A54" s="126" t="s">
        <v>191</v>
      </c>
      <c r="B54" s="126" t="s">
        <v>192</v>
      </c>
      <c r="C54" s="126" t="s">
        <v>193</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126" t="s">
        <v>191</v>
      </c>
      <c r="B55" s="126" t="s">
        <v>192</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126" t="s">
        <v>191</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27</v>
      </c>
    </row>
    <row r="60" customFormat="false" ht="78.75"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75</v>
      </c>
    </row>
    <row r="61" customFormat="false" ht="14.25" hidden="false" customHeight="true" outlineLevel="0" collapsed="false">
      <c r="O61" s="45"/>
      <c r="AS61" s="42" t="n">
        <v>14</v>
      </c>
    </row>
    <row r="62" customFormat="false" ht="18.75" hidden="false" customHeight="true" outlineLevel="0" collapsed="false">
      <c r="O62" s="45"/>
      <c r="S62" s="414"/>
      <c r="T62" s="495"/>
      <c r="U62" s="495"/>
      <c r="V62" s="495"/>
      <c r="W62" s="495"/>
      <c r="X62" s="495"/>
      <c r="Y62" s="495"/>
      <c r="Z62" s="495"/>
      <c r="AA62" s="495"/>
      <c r="AB62" s="495"/>
      <c r="AC62" s="495"/>
      <c r="AD62" s="495"/>
      <c r="AE62" s="495"/>
      <c r="AF62" s="495"/>
      <c r="AG62" s="495"/>
      <c r="AH62" s="495"/>
      <c r="AI62" s="495"/>
      <c r="AJ62" s="495"/>
      <c r="AK62" s="495"/>
      <c r="AL62" s="495"/>
      <c r="AM62" s="495"/>
      <c r="AS62" s="42" t="n">
        <v>18</v>
      </c>
    </row>
    <row r="63" customFormat="false" ht="18.75" hidden="false" customHeight="true" outlineLevel="0" collapsed="false">
      <c r="O63" s="45"/>
      <c r="T63" s="495"/>
      <c r="U63" s="495"/>
      <c r="V63" s="495"/>
      <c r="W63" s="495"/>
      <c r="X63" s="495"/>
      <c r="Y63" s="495"/>
      <c r="Z63" s="495"/>
      <c r="AA63" s="495"/>
      <c r="AB63" s="495"/>
      <c r="AC63" s="495"/>
      <c r="AD63" s="495"/>
      <c r="AE63" s="495"/>
      <c r="AF63" s="495"/>
      <c r="AG63" s="495"/>
      <c r="AH63" s="495"/>
      <c r="AI63" s="495"/>
      <c r="AJ63" s="495"/>
      <c r="AK63" s="495"/>
      <c r="AL63" s="495"/>
      <c r="AM63" s="495"/>
      <c r="AS63" s="42" t="n">
        <v>18</v>
      </c>
    </row>
    <row r="64" customFormat="false" ht="39.75" hidden="false" customHeight="true" outlineLevel="0" collapsed="false">
      <c r="O64" s="45"/>
      <c r="S64" s="414"/>
      <c r="T64" s="495"/>
      <c r="U64" s="495"/>
      <c r="V64" s="495"/>
      <c r="W64" s="495"/>
      <c r="X64" s="495"/>
      <c r="Y64" s="495"/>
      <c r="Z64" s="495"/>
      <c r="AA64" s="495"/>
      <c r="AB64" s="495"/>
      <c r="AC64" s="495"/>
      <c r="AD64" s="495"/>
      <c r="AE64" s="495"/>
      <c r="AF64" s="495"/>
      <c r="AG64" s="495"/>
      <c r="AH64" s="495"/>
      <c r="AI64" s="495"/>
      <c r="AJ64" s="495"/>
      <c r="AK64" s="495"/>
      <c r="AL64" s="495"/>
      <c r="AM64" s="495"/>
      <c r="AS64" s="42" t="n">
        <v>38</v>
      </c>
    </row>
    <row r="65" customFormat="false" ht="22.5" hidden="true" customHeight="true" outlineLevel="0" collapsed="false">
      <c r="A65" s="45" t="s">
        <v>80</v>
      </c>
      <c r="B65" s="45" t="n">
        <v>0</v>
      </c>
      <c r="C65" s="45" t="n">
        <v>0</v>
      </c>
      <c r="D65" s="45" t="n">
        <v>0</v>
      </c>
      <c r="E65" s="45" t="n">
        <v>0</v>
      </c>
      <c r="F65" s="45" t="n">
        <v>0</v>
      </c>
      <c r="G65" s="45" t="n">
        <v>0</v>
      </c>
      <c r="H65" s="45" t="n">
        <v>0</v>
      </c>
      <c r="I65" s="45" t="n">
        <v>0</v>
      </c>
      <c r="J65" s="45" t="n">
        <v>0</v>
      </c>
      <c r="K65" s="45" t="n">
        <v>0</v>
      </c>
      <c r="L65" s="107" t="n">
        <v>0</v>
      </c>
      <c r="M65" s="53" t="n">
        <v>0</v>
      </c>
      <c r="N65" s="53" t="n">
        <v>0</v>
      </c>
      <c r="O65" s="53" t="n">
        <v>0</v>
      </c>
      <c r="P65" s="52" t="n">
        <v>3</v>
      </c>
      <c r="Q65" s="416" t="n">
        <v>3</v>
      </c>
      <c r="R65" s="416" t="n">
        <v>3</v>
      </c>
      <c r="S65" s="77" t="n">
        <v>12</v>
      </c>
      <c r="T65" s="42" t="n">
        <v>31</v>
      </c>
      <c r="U65" s="42" t="n">
        <v>0</v>
      </c>
      <c r="V65" s="42" t="n">
        <v>0</v>
      </c>
      <c r="W65" s="42" t="n">
        <v>0</v>
      </c>
      <c r="X65" s="42" t="n">
        <v>0</v>
      </c>
      <c r="Y65" s="42" t="n">
        <v>0</v>
      </c>
      <c r="Z65" s="42" t="n">
        <v>0</v>
      </c>
      <c r="AA65" s="42" t="n">
        <v>0</v>
      </c>
      <c r="AB65" s="42" t="n">
        <v>0</v>
      </c>
      <c r="AC65" s="42" t="n">
        <v>0</v>
      </c>
      <c r="AD65" s="42" t="n">
        <v>0</v>
      </c>
      <c r="AE65" s="42" t="n">
        <v>24</v>
      </c>
      <c r="AF65" s="42" t="n">
        <v>0</v>
      </c>
      <c r="AG65" s="42" t="n">
        <v>0</v>
      </c>
      <c r="AH65" s="42" t="n">
        <v>11</v>
      </c>
      <c r="AI65" s="42" t="n">
        <v>3</v>
      </c>
      <c r="AJ65" s="42" t="n">
        <v>11</v>
      </c>
      <c r="AK65" s="42" t="n">
        <v>0</v>
      </c>
      <c r="AL65" s="42" t="n">
        <v>4</v>
      </c>
      <c r="AM65" s="42" t="n">
        <v>115</v>
      </c>
      <c r="AN65" s="49" t="n">
        <v>10</v>
      </c>
      <c r="AO65" s="49" t="n">
        <v>10</v>
      </c>
      <c r="AP65" s="49" t="n">
        <v>10</v>
      </c>
      <c r="AQ65" s="49" t="n">
        <v>10</v>
      </c>
      <c r="AR65" s="49" t="n">
        <v>10</v>
      </c>
      <c r="AS65" s="42" t="n">
        <v>23</v>
      </c>
    </row>
  </sheetData>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true" hidden="true" outlineLevel="0" max="45" min="45" style="42" width="8.43"/>
  </cols>
  <sheetData>
    <row r="1" customFormat="false" ht="22.5" hidden="true" customHeight="true" outlineLevel="0" collapsed="false">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14.25" hidden="true" customHeight="true" outlineLevel="0" collapsed="false">
      <c r="A6" s="417"/>
      <c r="B6" s="417"/>
      <c r="C6" s="417"/>
      <c r="D6" s="417"/>
      <c r="E6" s="418"/>
      <c r="F6" s="418"/>
      <c r="G6" s="418"/>
      <c r="H6" s="418"/>
      <c r="I6" s="434" t="e">
        <f aca="false">S5&amp;".1"</f>
        <v>#N/A</v>
      </c>
      <c r="J6" s="417"/>
      <c r="K6" s="417"/>
      <c r="L6" s="419" t="s">
        <v>400</v>
      </c>
      <c r="M6" s="45"/>
      <c r="P6" s="125" t="n">
        <v>1</v>
      </c>
      <c r="Q6" s="125"/>
      <c r="R6" s="435"/>
      <c r="S6" s="299"/>
      <c r="T6" s="507"/>
      <c r="U6" s="508"/>
      <c r="V6" s="509"/>
      <c r="W6" s="509"/>
      <c r="X6" s="509"/>
      <c r="Y6" s="509"/>
      <c r="Z6" s="509"/>
      <c r="AA6" s="509"/>
      <c r="AB6" s="509"/>
      <c r="AC6" s="509"/>
      <c r="AD6" s="509"/>
      <c r="AE6" s="509"/>
      <c r="AF6" s="509"/>
      <c r="AG6" s="509"/>
      <c r="AH6" s="509"/>
      <c r="AI6" s="509"/>
      <c r="AJ6" s="509"/>
      <c r="AK6" s="509"/>
      <c r="AL6" s="509"/>
      <c r="AM6" s="510"/>
      <c r="AO6" s="122"/>
      <c r="AP6" s="122" t="str">
        <f aca="false">IF(T6="","",T6)</f>
        <v/>
      </c>
      <c r="AQ6" s="122"/>
      <c r="AR6" s="122"/>
      <c r="AS6" s="42" t="n">
        <v>0</v>
      </c>
    </row>
    <row r="7" customFormat="false" ht="21"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0.7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50"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5" hidden="true" customHeight="true" outlineLevel="0" collapsed="false">
      <c r="A11" s="417"/>
      <c r="B11" s="417"/>
      <c r="C11" s="417"/>
      <c r="D11" s="417"/>
      <c r="E11" s="418"/>
      <c r="F11" s="418"/>
      <c r="G11" s="418"/>
      <c r="H11" s="418"/>
      <c r="I11" s="434"/>
      <c r="J11" s="417"/>
      <c r="K11" s="417"/>
      <c r="L11" s="419"/>
      <c r="M11" s="45"/>
      <c r="P11" s="125"/>
      <c r="Q11" s="125"/>
      <c r="R11" s="435"/>
      <c r="S11" s="447"/>
      <c r="T11" s="454"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511"/>
      <c r="T12" s="512"/>
      <c r="U12" s="513"/>
      <c r="V12" s="513"/>
      <c r="W12" s="513"/>
      <c r="X12" s="513"/>
      <c r="Y12" s="513"/>
      <c r="Z12" s="513"/>
      <c r="AA12" s="513"/>
      <c r="AB12" s="513"/>
      <c r="AC12" s="513"/>
      <c r="AD12" s="513"/>
      <c r="AE12" s="513"/>
      <c r="AF12" s="513"/>
      <c r="AG12" s="513"/>
      <c r="AH12" s="513"/>
      <c r="AI12" s="513"/>
      <c r="AJ12" s="513"/>
      <c r="AK12" s="513"/>
      <c r="AL12" s="513"/>
      <c r="AM12" s="514"/>
      <c r="AO12" s="122"/>
      <c r="AP12" s="122" t="str">
        <f aca="false">IF(T12="","",T12)</f>
        <v/>
      </c>
      <c r="AQ12" s="122"/>
      <c r="AR12" s="122"/>
      <c r="AS12" s="42" t="n">
        <v>0</v>
      </c>
    </row>
    <row r="13" s="49" customFormat="true" ht="0.7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14.2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63" hidden="false" customHeight="true" outlineLevel="0" collapsed="false">
      <c r="Q26" s="470"/>
      <c r="R26" s="470"/>
      <c r="S26" s="215"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
      <c r="U26" s="215"/>
      <c r="V26" s="215"/>
      <c r="W26" s="215"/>
      <c r="X26" s="215"/>
      <c r="Y26" s="215"/>
      <c r="Z26" s="215"/>
      <c r="AA26" s="215"/>
      <c r="AB26" s="215"/>
      <c r="AC26" s="215"/>
      <c r="AD26" s="215"/>
      <c r="AE26" s="215"/>
      <c r="AF26" s="215"/>
      <c r="AG26" s="215"/>
      <c r="AH26" s="215"/>
      <c r="AI26" s="215"/>
      <c r="AJ26" s="215"/>
      <c r="AK26" s="217"/>
      <c r="AS26" s="42" t="n">
        <v>60</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c r="X40" s="138" t="s">
        <v>432</v>
      </c>
      <c r="Y40" s="138"/>
      <c r="Z40" s="138" t="s">
        <v>433</v>
      </c>
      <c r="AA40" s="138"/>
      <c r="AB40" s="138"/>
      <c r="AC40" s="395"/>
      <c r="AD40" s="484" t="s">
        <v>447</v>
      </c>
      <c r="AE40" s="434"/>
      <c r="AF40" s="138" t="s">
        <v>432</v>
      </c>
      <c r="AG40" s="138"/>
      <c r="AH40" s="138" t="s">
        <v>433</v>
      </c>
      <c r="AI40" s="138"/>
      <c r="AJ40" s="138"/>
      <c r="AK40" s="395"/>
      <c r="AL40" s="482"/>
      <c r="AM40" s="138"/>
      <c r="AS40" s="42" t="n">
        <v>34</v>
      </c>
    </row>
    <row r="41" customFormat="false" ht="35.25"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417" t="s">
        <v>167</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417" t="s">
        <v>167</v>
      </c>
      <c r="B44" s="417" t="s">
        <v>168</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417" t="s">
        <v>167</v>
      </c>
      <c r="B45" s="417" t="s">
        <v>168</v>
      </c>
      <c r="C45" s="417" t="s">
        <v>169</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417" t="s">
        <v>167</v>
      </c>
      <c r="B46" s="417" t="s">
        <v>168</v>
      </c>
      <c r="C46" s="417" t="s">
        <v>169</v>
      </c>
      <c r="D46" s="417" t="s">
        <v>170</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s="49" customFormat="true" ht="14.35" hidden="false" customHeight="false" outlineLevel="0" collapsed="false">
      <c r="A47" s="126" t="s">
        <v>167</v>
      </c>
      <c r="B47" s="126" t="s">
        <v>168</v>
      </c>
      <c r="C47" s="126" t="s">
        <v>169</v>
      </c>
      <c r="D47" s="126" t="s">
        <v>170</v>
      </c>
      <c r="E47" s="418"/>
      <c r="F47" s="418"/>
      <c r="G47" s="418"/>
      <c r="H47" s="418"/>
      <c r="I47" s="434" t="str">
        <f aca="false">S46&amp;".1"</f>
        <v>....1</v>
      </c>
      <c r="J47" s="126"/>
      <c r="K47" s="126"/>
      <c r="L47" s="194" t="s">
        <v>400</v>
      </c>
      <c r="M47" s="515"/>
      <c r="N47" s="515"/>
      <c r="O47" s="515"/>
      <c r="P47" s="125" t="n">
        <v>1</v>
      </c>
      <c r="Q47" s="125"/>
      <c r="R47" s="435"/>
      <c r="S47" s="299"/>
      <c r="T47" s="507"/>
      <c r="U47" s="508"/>
      <c r="V47" s="509"/>
      <c r="W47" s="509"/>
      <c r="X47" s="509"/>
      <c r="Y47" s="509"/>
      <c r="Z47" s="509"/>
      <c r="AA47" s="509"/>
      <c r="AB47" s="509"/>
      <c r="AC47" s="509"/>
      <c r="AD47" s="509"/>
      <c r="AE47" s="509"/>
      <c r="AF47" s="509"/>
      <c r="AG47" s="509"/>
      <c r="AH47" s="509"/>
      <c r="AI47" s="509"/>
      <c r="AJ47" s="509"/>
      <c r="AK47" s="509"/>
      <c r="AL47" s="509"/>
      <c r="AM47" s="510"/>
      <c r="AO47" s="122"/>
      <c r="AP47" s="122" t="str">
        <f aca="false">IF(T47="","",T47)</f>
        <v/>
      </c>
      <c r="AQ47" s="122"/>
      <c r="AR47" s="122"/>
      <c r="AS47" s="49" t="n">
        <v>0</v>
      </c>
    </row>
    <row r="48" customFormat="false" ht="21.75" hidden="false" customHeight="true" outlineLevel="0" collapsed="false">
      <c r="A48" s="417" t="s">
        <v>167</v>
      </c>
      <c r="B48" s="417" t="s">
        <v>168</v>
      </c>
      <c r="C48" s="417" t="s">
        <v>169</v>
      </c>
      <c r="D48" s="417" t="s">
        <v>170</v>
      </c>
      <c r="E48" s="418"/>
      <c r="F48" s="418"/>
      <c r="G48" s="418"/>
      <c r="H48" s="418"/>
      <c r="I48" s="434"/>
      <c r="J48" s="434" t="str">
        <f aca="false">S46&amp;".1"</f>
        <v>....1</v>
      </c>
      <c r="K48" s="417"/>
      <c r="L48" s="419" t="s">
        <v>403</v>
      </c>
      <c r="P48" s="125"/>
      <c r="Q48" s="125" t="n">
        <v>1</v>
      </c>
      <c r="R48" s="438"/>
      <c r="S48" s="422" t="str">
        <f aca="false">$J48</f>
        <v>....1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417" t="s">
        <v>167</v>
      </c>
      <c r="B49" s="417" t="s">
        <v>168</v>
      </c>
      <c r="C49" s="417" t="s">
        <v>169</v>
      </c>
      <c r="D49" s="417" t="s">
        <v>170</v>
      </c>
      <c r="E49" s="418"/>
      <c r="F49" s="418"/>
      <c r="G49" s="418"/>
      <c r="H49" s="418"/>
      <c r="I49" s="434"/>
      <c r="J49" s="434"/>
      <c r="K49" s="434" t="str">
        <f aca="false">J48&amp;".1"</f>
        <v>....1.1</v>
      </c>
      <c r="L49" s="419" t="s">
        <v>406</v>
      </c>
      <c r="P49" s="125"/>
      <c r="Q49" s="125"/>
      <c r="R49" s="438" t="n">
        <v>1</v>
      </c>
      <c r="S49" s="422" t="str">
        <f aca="false">$K49</f>
        <v>....1.1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448</v>
      </c>
      <c r="AN49" s="49" t="e">
        <f aca="false">strcheckdate(V50:AL50)</f>
        <v>#NAME?</v>
      </c>
      <c r="AO49" s="122"/>
      <c r="AP49" s="122" t="str">
        <f aca="false">IF(T49="","",T49)</f>
        <v/>
      </c>
      <c r="AQ49" s="122"/>
      <c r="AR49" s="122"/>
      <c r="AS49" s="42" t="n">
        <v>21</v>
      </c>
    </row>
    <row r="50" customFormat="false" ht="0.75" hidden="false" customHeight="true" outlineLevel="0" collapsed="false">
      <c r="A50" s="417" t="s">
        <v>167</v>
      </c>
      <c r="B50" s="417" t="s">
        <v>168</v>
      </c>
      <c r="C50" s="417" t="s">
        <v>169</v>
      </c>
      <c r="D50" s="417" t="s">
        <v>170</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417" t="s">
        <v>167</v>
      </c>
      <c r="B51" s="417" t="s">
        <v>168</v>
      </c>
      <c r="C51" s="417" t="s">
        <v>169</v>
      </c>
      <c r="D51" s="417" t="s">
        <v>170</v>
      </c>
      <c r="E51" s="418"/>
      <c r="F51" s="418"/>
      <c r="G51" s="418"/>
      <c r="H51" s="418"/>
      <c r="I51" s="434"/>
      <c r="J51" s="434"/>
      <c r="K51" s="417"/>
      <c r="L51" s="419"/>
      <c r="P51" s="125"/>
      <c r="Q51" s="125"/>
      <c r="R51" s="435"/>
      <c r="S51" s="447"/>
      <c r="T51" s="450"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167</v>
      </c>
      <c r="B52" s="417" t="s">
        <v>168</v>
      </c>
      <c r="C52" s="417" t="s">
        <v>169</v>
      </c>
      <c r="D52" s="417" t="s">
        <v>170</v>
      </c>
      <c r="E52" s="418"/>
      <c r="F52" s="418"/>
      <c r="G52" s="418"/>
      <c r="H52" s="418"/>
      <c r="I52" s="434"/>
      <c r="J52" s="417"/>
      <c r="K52" s="417"/>
      <c r="L52" s="419"/>
      <c r="P52" s="125"/>
      <c r="Q52" s="125"/>
      <c r="R52" s="435"/>
      <c r="S52" s="447"/>
      <c r="T52" s="454"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35" hidden="false" customHeight="false" outlineLevel="0" collapsed="false">
      <c r="A53" s="417" t="s">
        <v>167</v>
      </c>
      <c r="B53" s="417" t="s">
        <v>168</v>
      </c>
      <c r="C53" s="417" t="s">
        <v>169</v>
      </c>
      <c r="D53" s="417" t="s">
        <v>170</v>
      </c>
      <c r="E53" s="418"/>
      <c r="F53" s="418"/>
      <c r="G53" s="418"/>
      <c r="H53" s="418"/>
      <c r="I53" s="417"/>
      <c r="J53" s="417"/>
      <c r="K53" s="417"/>
      <c r="L53" s="419"/>
      <c r="M53" s="420"/>
      <c r="N53" s="420"/>
      <c r="O53" s="45"/>
      <c r="P53" s="136"/>
      <c r="Q53" s="453"/>
      <c r="R53" s="421"/>
      <c r="S53" s="511"/>
      <c r="T53" s="512"/>
      <c r="U53" s="513"/>
      <c r="V53" s="513"/>
      <c r="W53" s="513"/>
      <c r="X53" s="513"/>
      <c r="Y53" s="513"/>
      <c r="Z53" s="513"/>
      <c r="AA53" s="513"/>
      <c r="AB53" s="513"/>
      <c r="AC53" s="513"/>
      <c r="AD53" s="513"/>
      <c r="AE53" s="513"/>
      <c r="AF53" s="513"/>
      <c r="AG53" s="513"/>
      <c r="AH53" s="513"/>
      <c r="AI53" s="513"/>
      <c r="AJ53" s="513"/>
      <c r="AK53" s="513"/>
      <c r="AL53" s="513"/>
      <c r="AM53" s="514"/>
      <c r="AO53" s="122"/>
      <c r="AP53" s="122" t="str">
        <f aca="false">IF(T53="","",T53)</f>
        <v/>
      </c>
      <c r="AQ53" s="122"/>
      <c r="AR53" s="122"/>
      <c r="AS53" s="42" t="n">
        <v>0</v>
      </c>
    </row>
    <row r="54" s="49" customFormat="true" ht="0.75" hidden="false" customHeight="true" outlineLevel="0" collapsed="false">
      <c r="A54" s="126" t="s">
        <v>167</v>
      </c>
      <c r="B54" s="126" t="s">
        <v>168</v>
      </c>
      <c r="C54" s="126" t="s">
        <v>169</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126" t="s">
        <v>167</v>
      </c>
      <c r="B55" s="126" t="s">
        <v>168</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126" t="s">
        <v>167</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19.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19</v>
      </c>
    </row>
    <row r="60" customFormat="false" ht="29.25"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28</v>
      </c>
    </row>
    <row r="61" customFormat="false" ht="42" hidden="false" customHeight="true" outlineLevel="0" collapsed="false">
      <c r="O61" s="45"/>
      <c r="T61" s="495"/>
      <c r="U61" s="495"/>
      <c r="V61" s="495"/>
      <c r="W61" s="495"/>
      <c r="X61" s="495"/>
      <c r="Y61" s="495"/>
      <c r="Z61" s="495"/>
      <c r="AA61" s="495"/>
      <c r="AB61" s="495"/>
      <c r="AC61" s="495"/>
      <c r="AD61" s="495"/>
      <c r="AE61" s="495"/>
      <c r="AF61" s="495"/>
      <c r="AG61" s="495"/>
      <c r="AH61" s="495"/>
      <c r="AI61" s="495"/>
      <c r="AJ61" s="495"/>
      <c r="AK61" s="495"/>
      <c r="AL61" s="495"/>
      <c r="AM61" s="495"/>
      <c r="AS61" s="42" t="n">
        <v>40</v>
      </c>
    </row>
    <row r="62" customFormat="false" ht="14.25" hidden="false" customHeight="true" outlineLevel="0" collapsed="false">
      <c r="O62" s="45"/>
      <c r="AS62" s="42" t="n">
        <v>14</v>
      </c>
    </row>
    <row r="63" customFormat="false" ht="21" hidden="false" customHeight="true" outlineLevel="0" collapsed="false">
      <c r="O63" s="45"/>
      <c r="S63" s="414"/>
      <c r="T63" s="247"/>
      <c r="U63" s="247"/>
      <c r="V63" s="247"/>
      <c r="W63" s="247"/>
      <c r="X63" s="247"/>
      <c r="Y63" s="247"/>
      <c r="Z63" s="247"/>
      <c r="AA63" s="247"/>
      <c r="AB63" s="247"/>
      <c r="AC63" s="247"/>
      <c r="AD63" s="247"/>
      <c r="AE63" s="247"/>
      <c r="AF63" s="247"/>
      <c r="AG63" s="247"/>
      <c r="AH63" s="247"/>
      <c r="AI63" s="247"/>
      <c r="AJ63" s="247"/>
      <c r="AK63" s="247"/>
      <c r="AL63" s="247"/>
      <c r="AM63" s="247"/>
      <c r="AS63" s="42" t="n">
        <v>20</v>
      </c>
    </row>
    <row r="64" customFormat="false" ht="29.25" hidden="false" customHeight="true" outlineLevel="0" collapsed="false">
      <c r="O64" s="45"/>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35.25" hidden="false" customHeight="true" outlineLevel="0" collapsed="false">
      <c r="T65" s="495"/>
      <c r="U65" s="495"/>
      <c r="V65" s="495"/>
      <c r="W65" s="495"/>
      <c r="X65" s="495"/>
      <c r="Y65" s="495"/>
      <c r="Z65" s="495"/>
      <c r="AA65" s="495"/>
      <c r="AB65" s="495"/>
      <c r="AC65" s="495"/>
      <c r="AD65" s="495"/>
      <c r="AE65" s="495"/>
      <c r="AF65" s="495"/>
      <c r="AG65" s="495"/>
      <c r="AH65" s="495"/>
      <c r="AI65" s="495"/>
      <c r="AJ65" s="495"/>
      <c r="AK65" s="495"/>
      <c r="AL65" s="495"/>
      <c r="AM65" s="495"/>
      <c r="AS65" s="42" t="n">
        <v>34</v>
      </c>
    </row>
    <row r="66" customFormat="false" ht="22.5" hidden="true" customHeight="true" outlineLevel="0" collapsed="false">
      <c r="A66" s="45" t="s">
        <v>80</v>
      </c>
      <c r="B66" s="45" t="n">
        <v>0</v>
      </c>
      <c r="C66" s="45" t="n">
        <v>0</v>
      </c>
      <c r="D66" s="45" t="n">
        <v>0</v>
      </c>
      <c r="E66" s="45" t="n">
        <v>0</v>
      </c>
      <c r="F66" s="45" t="n">
        <v>0</v>
      </c>
      <c r="G66" s="45" t="n">
        <v>0</v>
      </c>
      <c r="H66" s="45" t="n">
        <v>0</v>
      </c>
      <c r="I66" s="45" t="n">
        <v>0</v>
      </c>
      <c r="J66" s="45" t="n">
        <v>0</v>
      </c>
      <c r="K66" s="45" t="n">
        <v>0</v>
      </c>
      <c r="L66" s="107" t="n">
        <v>0</v>
      </c>
      <c r="M66" s="53" t="n">
        <v>0</v>
      </c>
      <c r="N66" s="53" t="n">
        <v>0</v>
      </c>
      <c r="O66" s="53" t="n">
        <v>0</v>
      </c>
      <c r="P66" s="52" t="n">
        <v>0</v>
      </c>
      <c r="Q66" s="416" t="n">
        <v>3</v>
      </c>
      <c r="R66" s="416" t="n">
        <v>3</v>
      </c>
      <c r="S66" s="77"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9" t="n">
        <v>10</v>
      </c>
      <c r="AO66" s="49" t="n">
        <v>10</v>
      </c>
      <c r="AP66" s="49" t="n">
        <v>10</v>
      </c>
      <c r="AQ66" s="49" t="n">
        <v>10</v>
      </c>
      <c r="AR66" s="49"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1" s="516"/>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517" t="e">
        <f aca="false">INDEX(PT_DIFFERENTIATION_NUM_CS,MATCH(C4,PT_DIFFERENTIATION_CS_ID,0))</f>
        <v>#N/A</v>
      </c>
      <c r="T4" s="518" t="s">
        <v>396</v>
      </c>
      <c r="U4" s="519"/>
      <c r="V4" s="520"/>
      <c r="W4" s="520"/>
      <c r="X4" s="520"/>
      <c r="Y4" s="520"/>
      <c r="Z4" s="520"/>
      <c r="AA4" s="520"/>
      <c r="AB4" s="520"/>
      <c r="AC4" s="520"/>
      <c r="AD4" s="521" t="e">
        <f aca="false">INDEX(PT_DIFFERENTIATION_CS,MATCH(C4,PT_DIFFERENTIATION_CS_ID,0))</f>
        <v>#N/A</v>
      </c>
      <c r="AE4" s="521"/>
      <c r="AF4" s="521"/>
      <c r="AG4" s="521"/>
      <c r="AH4" s="521"/>
      <c r="AI4" s="521"/>
      <c r="AJ4" s="521"/>
      <c r="AK4" s="521"/>
      <c r="AL4" s="521"/>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522" t="s">
        <v>399</v>
      </c>
      <c r="AO5" s="122"/>
      <c r="AP5" s="122" t="str">
        <f aca="false">IF(T5="","",T5)</f>
        <v>Источник тепловой энергии  </v>
      </c>
      <c r="AQ5" s="122"/>
      <c r="AR5" s="122"/>
      <c r="AS5" s="42" t="n">
        <v>0</v>
      </c>
    </row>
    <row r="6" customFormat="false" ht="0.75" hidden="true" customHeight="true" outlineLevel="0" collapsed="false">
      <c r="A6" s="417"/>
      <c r="B6" s="417"/>
      <c r="C6" s="417"/>
      <c r="D6" s="417"/>
      <c r="E6" s="418"/>
      <c r="F6" s="418"/>
      <c r="G6" s="418"/>
      <c r="H6" s="418"/>
      <c r="I6" s="434" t="e">
        <f aca="false">S5&amp;".1"</f>
        <v>#N/A</v>
      </c>
      <c r="J6" s="417"/>
      <c r="K6" s="417"/>
      <c r="L6" s="419" t="s">
        <v>400</v>
      </c>
      <c r="M6" s="45"/>
      <c r="P6" s="125" t="n">
        <v>1</v>
      </c>
      <c r="Q6" s="125"/>
      <c r="R6" s="125"/>
      <c r="S6" s="299"/>
      <c r="T6" s="507"/>
      <c r="U6" s="508"/>
      <c r="V6" s="509"/>
      <c r="W6" s="509"/>
      <c r="X6" s="509"/>
      <c r="Y6" s="509"/>
      <c r="Z6" s="509"/>
      <c r="AA6" s="509"/>
      <c r="AB6" s="509"/>
      <c r="AC6" s="509"/>
      <c r="AD6" s="509"/>
      <c r="AE6" s="509"/>
      <c r="AF6" s="509"/>
      <c r="AG6" s="509"/>
      <c r="AH6" s="509"/>
      <c r="AI6" s="509"/>
      <c r="AJ6" s="509"/>
      <c r="AK6" s="509"/>
      <c r="AL6" s="509"/>
      <c r="AM6" s="523"/>
      <c r="AO6" s="122"/>
      <c r="AP6" s="122" t="str">
        <f aca="false">IF(T6="","",T6)</f>
        <v/>
      </c>
      <c r="AQ6" s="122"/>
      <c r="AR6" s="122"/>
      <c r="AS6" s="42" t="n">
        <v>0</v>
      </c>
    </row>
    <row r="7" customFormat="false" ht="84"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9"/>
      <c r="S7" s="422" t="e">
        <f aca="false">$J7</f>
        <v>#N/A</v>
      </c>
      <c r="T7" s="439" t="s">
        <v>404</v>
      </c>
      <c r="U7" s="424"/>
      <c r="V7" s="437"/>
      <c r="W7" s="437"/>
      <c r="X7" s="437"/>
      <c r="Y7" s="437"/>
      <c r="Z7" s="437"/>
      <c r="AA7" s="437"/>
      <c r="AB7" s="437"/>
      <c r="AC7" s="437"/>
      <c r="AD7" s="437"/>
      <c r="AE7" s="437"/>
      <c r="AF7" s="437"/>
      <c r="AG7" s="437"/>
      <c r="AH7" s="437"/>
      <c r="AI7" s="437"/>
      <c r="AJ7" s="437"/>
      <c r="AK7" s="437"/>
      <c r="AL7" s="437"/>
      <c r="AM7" s="522" t="s">
        <v>405</v>
      </c>
      <c r="AO7" s="122"/>
      <c r="AP7" s="122" t="str">
        <f aca="false">IF(T7="","",T7)</f>
        <v>Группа потребителей</v>
      </c>
      <c r="AQ7" s="122"/>
      <c r="AR7" s="122"/>
      <c r="AS7" s="42" t="n">
        <v>0</v>
      </c>
    </row>
    <row r="8" customFormat="false" ht="11.25"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524" t="e">
        <f aca="false">$K8</f>
        <v>#N/A</v>
      </c>
      <c r="T8" s="525"/>
      <c r="U8" s="526"/>
      <c r="V8" s="527"/>
      <c r="W8" s="494"/>
      <c r="X8" s="527"/>
      <c r="Y8" s="528"/>
      <c r="Z8" s="529"/>
      <c r="AA8" s="202" t="s">
        <v>64</v>
      </c>
      <c r="AB8" s="529"/>
      <c r="AC8" s="202" t="s">
        <v>64</v>
      </c>
      <c r="AD8" s="527"/>
      <c r="AE8" s="494"/>
      <c r="AF8" s="527"/>
      <c r="AG8" s="528"/>
      <c r="AH8" s="529"/>
      <c r="AI8" s="202" t="s">
        <v>64</v>
      </c>
      <c r="AJ8" s="529"/>
      <c r="AK8" s="202" t="s">
        <v>64</v>
      </c>
      <c r="AL8" s="494"/>
      <c r="AM8" s="445" t="s">
        <v>407</v>
      </c>
      <c r="AN8" s="49" t="e">
        <f aca="false">strcheckdate(V9:AL9)</f>
        <v>#NAME?</v>
      </c>
      <c r="AO8" s="122"/>
      <c r="AP8" s="122" t="str">
        <f aca="false">IF(T8="","",T8)</f>
        <v/>
      </c>
      <c r="AQ8" s="122"/>
      <c r="AR8" s="122"/>
      <c r="AS8" s="42" t="n">
        <v>0</v>
      </c>
    </row>
    <row r="9" customFormat="false" ht="0.7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529"/>
      <c r="AA9" s="202"/>
      <c r="AB9" s="529"/>
      <c r="AC9" s="202"/>
      <c r="AD9" s="442"/>
      <c r="AE9" s="442"/>
      <c r="AF9" s="442"/>
      <c r="AG9" s="446" t="str">
        <f aca="false">AH8&amp;"-"&amp;AJ8</f>
        <v>-</v>
      </c>
      <c r="AH9" s="529"/>
      <c r="AI9" s="202"/>
      <c r="AJ9" s="529"/>
      <c r="AK9" s="202"/>
      <c r="AL9" s="442"/>
      <c r="AM9" s="445"/>
      <c r="AO9" s="122"/>
      <c r="AP9" s="122" t="str">
        <f aca="false">IF(T9="","",T9)</f>
        <v/>
      </c>
      <c r="AQ9" s="122"/>
      <c r="AR9" s="122"/>
      <c r="AS9" s="42" t="n">
        <v>0</v>
      </c>
    </row>
    <row r="10" customFormat="false" ht="11.2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50"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1.25" hidden="true" customHeight="true" outlineLevel="0" collapsed="false">
      <c r="A11" s="417"/>
      <c r="B11" s="417"/>
      <c r="C11" s="417"/>
      <c r="D11" s="417"/>
      <c r="E11" s="418"/>
      <c r="F11" s="418"/>
      <c r="G11" s="418"/>
      <c r="H11" s="418"/>
      <c r="I11" s="434"/>
      <c r="J11" s="417"/>
      <c r="K11" s="417"/>
      <c r="L11" s="419"/>
      <c r="M11" s="45"/>
      <c r="P11" s="125"/>
      <c r="Q11" s="125"/>
      <c r="R11" s="435"/>
      <c r="S11" s="447"/>
      <c r="T11" s="454"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0.7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511"/>
      <c r="T12" s="512"/>
      <c r="U12" s="513"/>
      <c r="V12" s="513"/>
      <c r="W12" s="513"/>
      <c r="X12" s="513"/>
      <c r="Y12" s="513"/>
      <c r="Z12" s="513"/>
      <c r="AA12" s="513"/>
      <c r="AB12" s="513"/>
      <c r="AC12" s="513"/>
      <c r="AD12" s="513"/>
      <c r="AE12" s="513"/>
      <c r="AF12" s="513"/>
      <c r="AG12" s="513"/>
      <c r="AH12" s="513"/>
      <c r="AI12" s="513"/>
      <c r="AJ12" s="513"/>
      <c r="AK12" s="513"/>
      <c r="AL12" s="513"/>
      <c r="AM12" s="514"/>
      <c r="AO12" s="122"/>
      <c r="AP12" s="122" t="str">
        <f aca="false">IF(T12="","",T12)</f>
        <v/>
      </c>
      <c r="AQ12" s="122"/>
      <c r="AR12" s="122"/>
      <c r="AS12" s="42" t="n">
        <v>0</v>
      </c>
    </row>
    <row r="13" s="49" customFormat="true" ht="0.7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0.7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0.7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14.2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54.75" hidden="false" customHeight="true" outlineLevel="0" collapsed="false">
      <c r="Q26" s="470"/>
      <c r="R26" s="470"/>
      <c r="S26" s="178"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78"/>
      <c r="U26" s="178"/>
      <c r="V26" s="178"/>
      <c r="W26" s="178"/>
      <c r="X26" s="178"/>
      <c r="Y26" s="178"/>
      <c r="Z26" s="178"/>
      <c r="AA26" s="178"/>
      <c r="AB26" s="178"/>
      <c r="AC26" s="178"/>
      <c r="AD26" s="178"/>
      <c r="AE26" s="178"/>
      <c r="AF26" s="178"/>
      <c r="AG26" s="178"/>
      <c r="AH26" s="178"/>
      <c r="AI26" s="178"/>
      <c r="AJ26" s="178"/>
      <c r="AK26" s="217"/>
      <c r="AS26" s="42" t="n">
        <v>52</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c r="X40" s="138" t="s">
        <v>432</v>
      </c>
      <c r="Y40" s="138"/>
      <c r="Z40" s="138" t="s">
        <v>433</v>
      </c>
      <c r="AA40" s="138"/>
      <c r="AB40" s="138"/>
      <c r="AC40" s="395"/>
      <c r="AD40" s="484" t="s">
        <v>447</v>
      </c>
      <c r="AE40" s="434"/>
      <c r="AF40" s="138" t="s">
        <v>432</v>
      </c>
      <c r="AG40" s="138"/>
      <c r="AH40" s="138" t="s">
        <v>433</v>
      </c>
      <c r="AI40" s="138"/>
      <c r="AJ40" s="138"/>
      <c r="AK40" s="395"/>
      <c r="AL40" s="482"/>
      <c r="AM40" s="138"/>
      <c r="AS40" s="42" t="n">
        <v>34</v>
      </c>
    </row>
    <row r="41" customFormat="false" ht="35.25"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417" t="s">
        <v>179</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417" t="s">
        <v>179</v>
      </c>
      <c r="B44" s="417" t="s">
        <v>180</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417" t="s">
        <v>179</v>
      </c>
      <c r="B45" s="417" t="s">
        <v>180</v>
      </c>
      <c r="C45" s="417" t="s">
        <v>181</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417" t="s">
        <v>179</v>
      </c>
      <c r="B46" s="417" t="s">
        <v>180</v>
      </c>
      <c r="C46" s="417" t="s">
        <v>181</v>
      </c>
      <c r="D46" s="417" t="s">
        <v>182</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s="49" customFormat="true" ht="14.35" hidden="false" customHeight="false" outlineLevel="0" collapsed="false">
      <c r="A47" s="126" t="s">
        <v>179</v>
      </c>
      <c r="B47" s="126" t="s">
        <v>180</v>
      </c>
      <c r="C47" s="126" t="s">
        <v>181</v>
      </c>
      <c r="D47" s="126" t="s">
        <v>182</v>
      </c>
      <c r="E47" s="418"/>
      <c r="F47" s="418"/>
      <c r="G47" s="418"/>
      <c r="H47" s="418"/>
      <c r="I47" s="434" t="str">
        <f aca="false">S46&amp;".1"</f>
        <v>....1</v>
      </c>
      <c r="J47" s="126"/>
      <c r="K47" s="126"/>
      <c r="L47" s="194" t="s">
        <v>400</v>
      </c>
      <c r="M47" s="515"/>
      <c r="N47" s="515"/>
      <c r="O47" s="515"/>
      <c r="P47" s="125" t="n">
        <v>1</v>
      </c>
      <c r="Q47" s="125"/>
      <c r="R47" s="435"/>
      <c r="S47" s="299"/>
      <c r="T47" s="507"/>
      <c r="U47" s="508"/>
      <c r="V47" s="509"/>
      <c r="W47" s="509"/>
      <c r="X47" s="509"/>
      <c r="Y47" s="509"/>
      <c r="Z47" s="509"/>
      <c r="AA47" s="509"/>
      <c r="AB47" s="509"/>
      <c r="AC47" s="509"/>
      <c r="AD47" s="509"/>
      <c r="AE47" s="509"/>
      <c r="AF47" s="509"/>
      <c r="AG47" s="509"/>
      <c r="AH47" s="509"/>
      <c r="AI47" s="509"/>
      <c r="AJ47" s="509"/>
      <c r="AK47" s="509"/>
      <c r="AL47" s="509"/>
      <c r="AM47" s="510"/>
      <c r="AO47" s="122"/>
      <c r="AP47" s="122" t="str">
        <f aca="false">IF(T47="","",T47)</f>
        <v/>
      </c>
      <c r="AQ47" s="122"/>
      <c r="AR47" s="122"/>
      <c r="AS47" s="49" t="n">
        <v>0</v>
      </c>
    </row>
    <row r="48" customFormat="false" ht="21.75" hidden="false" customHeight="true" outlineLevel="0" collapsed="false">
      <c r="A48" s="417" t="s">
        <v>179</v>
      </c>
      <c r="B48" s="417" t="s">
        <v>180</v>
      </c>
      <c r="C48" s="417" t="s">
        <v>181</v>
      </c>
      <c r="D48" s="417" t="s">
        <v>182</v>
      </c>
      <c r="E48" s="418"/>
      <c r="F48" s="418"/>
      <c r="G48" s="418"/>
      <c r="H48" s="418"/>
      <c r="I48" s="434"/>
      <c r="J48" s="434" t="str">
        <f aca="false">S46&amp;".1"</f>
        <v>....1</v>
      </c>
      <c r="K48" s="417"/>
      <c r="L48" s="419" t="s">
        <v>403</v>
      </c>
      <c r="P48" s="125"/>
      <c r="Q48" s="125" t="n">
        <v>1</v>
      </c>
      <c r="R48" s="438"/>
      <c r="S48" s="422" t="str">
        <f aca="false">$J48</f>
        <v>....1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417" t="s">
        <v>179</v>
      </c>
      <c r="B49" s="417" t="s">
        <v>180</v>
      </c>
      <c r="C49" s="417" t="s">
        <v>181</v>
      </c>
      <c r="D49" s="417" t="s">
        <v>182</v>
      </c>
      <c r="E49" s="418"/>
      <c r="F49" s="418"/>
      <c r="G49" s="418"/>
      <c r="H49" s="418"/>
      <c r="I49" s="434"/>
      <c r="J49" s="434"/>
      <c r="K49" s="434" t="str">
        <f aca="false">J48&amp;".1"</f>
        <v>....1.1</v>
      </c>
      <c r="L49" s="419" t="s">
        <v>406</v>
      </c>
      <c r="P49" s="125"/>
      <c r="Q49" s="125"/>
      <c r="R49" s="438" t="n">
        <v>1</v>
      </c>
      <c r="S49" s="422" t="str">
        <f aca="false">$K49</f>
        <v>....1.1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448</v>
      </c>
      <c r="AN49" s="49" t="e">
        <f aca="false">strcheckdate(V50:AL50)</f>
        <v>#NAME?</v>
      </c>
      <c r="AO49" s="122"/>
      <c r="AP49" s="122" t="str">
        <f aca="false">IF(T49="","",T49)</f>
        <v/>
      </c>
      <c r="AQ49" s="122"/>
      <c r="AR49" s="122"/>
      <c r="AS49" s="42" t="n">
        <v>21</v>
      </c>
    </row>
    <row r="50" customFormat="false" ht="0.75" hidden="false" customHeight="true" outlineLevel="0" collapsed="false">
      <c r="A50" s="417" t="s">
        <v>179</v>
      </c>
      <c r="B50" s="417" t="s">
        <v>180</v>
      </c>
      <c r="C50" s="417" t="s">
        <v>181</v>
      </c>
      <c r="D50" s="417" t="s">
        <v>182</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1</v>
      </c>
    </row>
    <row r="51" customFormat="false" ht="11.25" hidden="false" customHeight="true" outlineLevel="0" collapsed="false">
      <c r="A51" s="417" t="s">
        <v>179</v>
      </c>
      <c r="B51" s="417" t="s">
        <v>180</v>
      </c>
      <c r="C51" s="417" t="s">
        <v>181</v>
      </c>
      <c r="D51" s="417" t="s">
        <v>182</v>
      </c>
      <c r="E51" s="418"/>
      <c r="F51" s="418"/>
      <c r="G51" s="418"/>
      <c r="H51" s="418"/>
      <c r="I51" s="434"/>
      <c r="J51" s="434"/>
      <c r="K51" s="417"/>
      <c r="L51" s="419"/>
      <c r="P51" s="125"/>
      <c r="Q51" s="125"/>
      <c r="R51" s="435"/>
      <c r="S51" s="447"/>
      <c r="T51" s="450"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179</v>
      </c>
      <c r="B52" s="417" t="s">
        <v>180</v>
      </c>
      <c r="C52" s="417" t="s">
        <v>181</v>
      </c>
      <c r="D52" s="417" t="s">
        <v>182</v>
      </c>
      <c r="E52" s="418"/>
      <c r="F52" s="418"/>
      <c r="G52" s="418"/>
      <c r="H52" s="418"/>
      <c r="I52" s="434"/>
      <c r="J52" s="417"/>
      <c r="K52" s="417"/>
      <c r="L52" s="419"/>
      <c r="P52" s="125"/>
      <c r="Q52" s="125"/>
      <c r="R52" s="435"/>
      <c r="S52" s="447"/>
      <c r="T52" s="454"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35" hidden="false" customHeight="false" outlineLevel="0" collapsed="false">
      <c r="A53" s="417" t="s">
        <v>179</v>
      </c>
      <c r="B53" s="417" t="s">
        <v>180</v>
      </c>
      <c r="C53" s="417" t="s">
        <v>181</v>
      </c>
      <c r="D53" s="417" t="s">
        <v>182</v>
      </c>
      <c r="E53" s="418"/>
      <c r="F53" s="418"/>
      <c r="G53" s="418"/>
      <c r="H53" s="418"/>
      <c r="I53" s="417"/>
      <c r="J53" s="417"/>
      <c r="K53" s="417"/>
      <c r="L53" s="419"/>
      <c r="M53" s="420"/>
      <c r="N53" s="420"/>
      <c r="O53" s="45"/>
      <c r="P53" s="136"/>
      <c r="Q53" s="453"/>
      <c r="R53" s="421"/>
      <c r="S53" s="511"/>
      <c r="T53" s="512"/>
      <c r="U53" s="513"/>
      <c r="V53" s="513"/>
      <c r="W53" s="513"/>
      <c r="X53" s="513"/>
      <c r="Y53" s="513"/>
      <c r="Z53" s="513"/>
      <c r="AA53" s="513"/>
      <c r="AB53" s="513"/>
      <c r="AC53" s="513"/>
      <c r="AD53" s="513"/>
      <c r="AE53" s="513"/>
      <c r="AF53" s="513"/>
      <c r="AG53" s="513"/>
      <c r="AH53" s="513"/>
      <c r="AI53" s="513"/>
      <c r="AJ53" s="513"/>
      <c r="AK53" s="513"/>
      <c r="AL53" s="513"/>
      <c r="AM53" s="514"/>
      <c r="AO53" s="122"/>
      <c r="AP53" s="122" t="str">
        <f aca="false">IF(T53="","",T53)</f>
        <v/>
      </c>
      <c r="AQ53" s="122"/>
      <c r="AR53" s="122"/>
      <c r="AS53" s="42" t="n">
        <v>0</v>
      </c>
    </row>
    <row r="54" s="49" customFormat="true" ht="0.75" hidden="false" customHeight="true" outlineLevel="0" collapsed="false">
      <c r="A54" s="126" t="s">
        <v>179</v>
      </c>
      <c r="B54" s="126" t="s">
        <v>180</v>
      </c>
      <c r="C54" s="126" t="s">
        <v>181</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1</v>
      </c>
    </row>
    <row r="55" s="49" customFormat="true" ht="0.75" hidden="false" customHeight="true" outlineLevel="0" collapsed="false">
      <c r="A55" s="126" t="s">
        <v>179</v>
      </c>
      <c r="B55" s="126" t="s">
        <v>180</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1</v>
      </c>
    </row>
    <row r="56" s="49" customFormat="true" ht="0.75" hidden="false" customHeight="true" outlineLevel="0" collapsed="false">
      <c r="A56" s="126" t="s">
        <v>179</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1</v>
      </c>
    </row>
    <row r="57" s="49" customFormat="true" ht="0.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3.2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22</v>
      </c>
    </row>
    <row r="60" customFormat="false" ht="30"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29</v>
      </c>
    </row>
    <row r="61" customFormat="false" ht="42" hidden="false" customHeight="true" outlineLevel="0" collapsed="false">
      <c r="O61" s="45"/>
      <c r="T61" s="495"/>
      <c r="U61" s="495"/>
      <c r="V61" s="495"/>
      <c r="W61" s="495"/>
      <c r="X61" s="495"/>
      <c r="Y61" s="495"/>
      <c r="Z61" s="495"/>
      <c r="AA61" s="495"/>
      <c r="AB61" s="495"/>
      <c r="AC61" s="495"/>
      <c r="AD61" s="495"/>
      <c r="AE61" s="495"/>
      <c r="AF61" s="495"/>
      <c r="AG61" s="495"/>
      <c r="AH61" s="495"/>
      <c r="AI61" s="495"/>
      <c r="AJ61" s="495"/>
      <c r="AK61" s="495"/>
      <c r="AL61" s="495"/>
      <c r="AM61" s="495"/>
      <c r="AS61" s="42" t="n">
        <v>40</v>
      </c>
    </row>
    <row r="62" customFormat="false" ht="14.25" hidden="false" customHeight="true" outlineLevel="0" collapsed="false">
      <c r="O62" s="45"/>
      <c r="AS62" s="42" t="n">
        <v>14</v>
      </c>
    </row>
    <row r="63" customFormat="false" ht="21" hidden="false" customHeight="true" outlineLevel="0" collapsed="false">
      <c r="O63" s="45"/>
      <c r="S63" s="414"/>
      <c r="T63" s="247"/>
      <c r="U63" s="247"/>
      <c r="V63" s="247"/>
      <c r="W63" s="247"/>
      <c r="X63" s="247"/>
      <c r="Y63" s="247"/>
      <c r="Z63" s="247"/>
      <c r="AA63" s="247"/>
      <c r="AB63" s="247"/>
      <c r="AC63" s="247"/>
      <c r="AD63" s="247"/>
      <c r="AE63" s="247"/>
      <c r="AF63" s="247"/>
      <c r="AG63" s="247"/>
      <c r="AH63" s="247"/>
      <c r="AI63" s="247"/>
      <c r="AJ63" s="247"/>
      <c r="AK63" s="247"/>
      <c r="AL63" s="247"/>
      <c r="AM63" s="247"/>
      <c r="AS63" s="42" t="n">
        <v>20</v>
      </c>
    </row>
    <row r="64" customFormat="false" ht="29.25" hidden="false" customHeight="true" outlineLevel="0" collapsed="false">
      <c r="O64" s="45"/>
      <c r="T64" s="495"/>
      <c r="U64" s="495"/>
      <c r="V64" s="495"/>
      <c r="W64" s="495"/>
      <c r="X64" s="495"/>
      <c r="Y64" s="495"/>
      <c r="Z64" s="495"/>
      <c r="AA64" s="495"/>
      <c r="AB64" s="495"/>
      <c r="AC64" s="495"/>
      <c r="AD64" s="495"/>
      <c r="AE64" s="495"/>
      <c r="AF64" s="495"/>
      <c r="AG64" s="495"/>
      <c r="AH64" s="495"/>
      <c r="AI64" s="495"/>
      <c r="AJ64" s="495"/>
      <c r="AK64" s="495"/>
      <c r="AL64" s="495"/>
      <c r="AM64" s="495"/>
      <c r="AS64" s="42" t="n">
        <v>28</v>
      </c>
    </row>
    <row r="65" customFormat="false" ht="35.25" hidden="false" customHeight="true" outlineLevel="0" collapsed="false">
      <c r="T65" s="495"/>
      <c r="U65" s="495"/>
      <c r="V65" s="495"/>
      <c r="W65" s="495"/>
      <c r="X65" s="495"/>
      <c r="Y65" s="495"/>
      <c r="Z65" s="495"/>
      <c r="AA65" s="495"/>
      <c r="AB65" s="495"/>
      <c r="AC65" s="495"/>
      <c r="AD65" s="495"/>
      <c r="AE65" s="495"/>
      <c r="AF65" s="495"/>
      <c r="AG65" s="495"/>
      <c r="AH65" s="495"/>
      <c r="AI65" s="495"/>
      <c r="AJ65" s="495"/>
      <c r="AK65" s="495"/>
      <c r="AL65" s="495"/>
      <c r="AM65" s="495"/>
      <c r="AS65" s="42" t="n">
        <v>34</v>
      </c>
    </row>
    <row r="66" customFormat="false" ht="22.5" hidden="true" customHeight="true" outlineLevel="0" collapsed="false">
      <c r="A66" s="45" t="s">
        <v>80</v>
      </c>
      <c r="B66" s="45" t="n">
        <v>0</v>
      </c>
      <c r="C66" s="45" t="n">
        <v>0</v>
      </c>
      <c r="D66" s="45" t="n">
        <v>0</v>
      </c>
      <c r="E66" s="45" t="n">
        <v>0</v>
      </c>
      <c r="F66" s="45" t="n">
        <v>0</v>
      </c>
      <c r="G66" s="45" t="n">
        <v>0</v>
      </c>
      <c r="H66" s="45" t="n">
        <v>0</v>
      </c>
      <c r="I66" s="45" t="n">
        <v>0</v>
      </c>
      <c r="J66" s="45" t="n">
        <v>0</v>
      </c>
      <c r="K66" s="45" t="n">
        <v>0</v>
      </c>
      <c r="L66" s="107" t="n">
        <v>0</v>
      </c>
      <c r="M66" s="53" t="n">
        <v>0</v>
      </c>
      <c r="N66" s="53" t="n">
        <v>0</v>
      </c>
      <c r="O66" s="53" t="n">
        <v>0</v>
      </c>
      <c r="P66" s="52" t="n">
        <v>0</v>
      </c>
      <c r="Q66" s="416" t="n">
        <v>3</v>
      </c>
      <c r="R66" s="416" t="n">
        <v>3</v>
      </c>
      <c r="S66" s="77"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9" t="n">
        <v>10</v>
      </c>
      <c r="AO66" s="49" t="n">
        <v>10</v>
      </c>
      <c r="AP66" s="49" t="n">
        <v>10</v>
      </c>
      <c r="AQ66" s="49" t="n">
        <v>10</v>
      </c>
      <c r="AR66" s="49"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9"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6" t="e">
        <f aca="false">INDEX(PT_DIFFERENTIATION_NTAR,MATCH(A2,PT_DIFFERENTIATION_NTAR_ID,0))</f>
        <v>#N/A</v>
      </c>
      <c r="AE2" s="426"/>
      <c r="AF2" s="426"/>
      <c r="AG2" s="426"/>
      <c r="AH2" s="426"/>
      <c r="AI2" s="426"/>
      <c r="AJ2" s="426"/>
      <c r="AK2" s="426"/>
      <c r="AL2" s="426"/>
      <c r="AM2" s="427" t="s">
        <v>393</v>
      </c>
      <c r="AO2" s="122"/>
      <c r="AP2" s="122" t="str">
        <f aca="false">IF(T2="","",T2)</f>
        <v>Наименование тарифа</v>
      </c>
      <c r="AQ2" s="122"/>
      <c r="AR2" s="122"/>
      <c r="AS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6" t="e">
        <f aca="false">INDEX(PT_DIFFERENTIATION_TER,MATCH(B3,PT_DIFFERENTIATION_TER_ID,0))</f>
        <v>#N/A</v>
      </c>
      <c r="AE3" s="426"/>
      <c r="AF3" s="426"/>
      <c r="AG3" s="426"/>
      <c r="AH3" s="426"/>
      <c r="AI3" s="426"/>
      <c r="AJ3" s="426"/>
      <c r="AK3" s="426"/>
      <c r="AL3" s="426"/>
      <c r="AM3" s="427" t="s">
        <v>395</v>
      </c>
      <c r="AO3" s="122"/>
      <c r="AP3" s="122" t="str">
        <f aca="false">IF(T3="","",T3)</f>
        <v>Территория действия тарифа</v>
      </c>
      <c r="AQ3" s="122"/>
      <c r="AR3" s="122"/>
      <c r="AS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396</v>
      </c>
      <c r="U4" s="424"/>
      <c r="V4" s="425"/>
      <c r="W4" s="425"/>
      <c r="X4" s="425"/>
      <c r="Y4" s="425"/>
      <c r="Z4" s="425"/>
      <c r="AA4" s="425"/>
      <c r="AB4" s="425"/>
      <c r="AC4" s="425"/>
      <c r="AD4" s="426" t="e">
        <f aca="false">INDEX(PT_DIFFERENTIATION_CS,MATCH(C4,PT_DIFFERENTIATION_CS_ID,0))</f>
        <v>#N/A</v>
      </c>
      <c r="AE4" s="426"/>
      <c r="AF4" s="426"/>
      <c r="AG4" s="426"/>
      <c r="AH4" s="426"/>
      <c r="AI4" s="426"/>
      <c r="AJ4" s="426"/>
      <c r="AK4" s="426"/>
      <c r="AL4" s="426"/>
      <c r="AM4" s="427" t="s">
        <v>397</v>
      </c>
      <c r="AO4" s="122"/>
      <c r="AP4" s="122" t="str">
        <f aca="false">IF(T4="","",T4)</f>
        <v>Наименование системы теплоснабжения </v>
      </c>
      <c r="AQ4" s="122"/>
      <c r="AR4" s="122"/>
      <c r="AS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431"/>
      <c r="Q5" s="428"/>
      <c r="R5" s="429"/>
      <c r="S5" s="422" t="e">
        <f aca="false">INDEX(PT_DIFFERENTIATION_NUM_IST_TE,MATCH(D5,PT_DIFFERENTIATION_IST_TE_ID,0))</f>
        <v>#N/A</v>
      </c>
      <c r="T5" s="433" t="s">
        <v>398</v>
      </c>
      <c r="U5" s="424"/>
      <c r="V5" s="425"/>
      <c r="W5" s="425"/>
      <c r="X5" s="425"/>
      <c r="Y5" s="425"/>
      <c r="Z5" s="425"/>
      <c r="AA5" s="425"/>
      <c r="AB5" s="425"/>
      <c r="AC5" s="425"/>
      <c r="AD5" s="426" t="e">
        <f aca="false">INDEX(PT_DIFFERENTIATION_IST_TE,MATCH(D5,PT_DIFFERENTIATION_IST_TE_ID,0))</f>
        <v>#N/A</v>
      </c>
      <c r="AE5" s="426"/>
      <c r="AF5" s="426"/>
      <c r="AG5" s="426"/>
      <c r="AH5" s="426"/>
      <c r="AI5" s="426"/>
      <c r="AJ5" s="426"/>
      <c r="AK5" s="426"/>
      <c r="AL5" s="426"/>
      <c r="AM5" s="427" t="s">
        <v>399</v>
      </c>
      <c r="AO5" s="122"/>
      <c r="AP5" s="122" t="str">
        <f aca="false">IF(T5="","",T5)</f>
        <v>Источник тепловой энергии  </v>
      </c>
      <c r="AQ5" s="122"/>
      <c r="AR5" s="122"/>
      <c r="AS5" s="42" t="n">
        <v>0</v>
      </c>
    </row>
    <row r="6" customFormat="false" ht="14.25" hidden="true" customHeight="true" outlineLevel="0" collapsed="false">
      <c r="A6" s="417"/>
      <c r="B6" s="417"/>
      <c r="C6" s="417"/>
      <c r="D6" s="417"/>
      <c r="E6" s="418"/>
      <c r="F6" s="418"/>
      <c r="G6" s="418"/>
      <c r="H6" s="418"/>
      <c r="I6" s="434" t="e">
        <f aca="false">S5&amp;".1"</f>
        <v>#N/A</v>
      </c>
      <c r="J6" s="417"/>
      <c r="K6" s="417"/>
      <c r="L6" s="419" t="s">
        <v>400</v>
      </c>
      <c r="M6" s="45"/>
      <c r="P6" s="125" t="n">
        <v>1</v>
      </c>
      <c r="Q6" s="125"/>
      <c r="R6" s="435"/>
      <c r="S6" s="299"/>
      <c r="T6" s="507"/>
      <c r="U6" s="508"/>
      <c r="V6" s="509"/>
      <c r="W6" s="509"/>
      <c r="X6" s="509"/>
      <c r="Y6" s="509"/>
      <c r="Z6" s="509"/>
      <c r="AA6" s="509"/>
      <c r="AB6" s="509"/>
      <c r="AC6" s="509"/>
      <c r="AD6" s="509"/>
      <c r="AE6" s="509"/>
      <c r="AF6" s="509"/>
      <c r="AG6" s="509"/>
      <c r="AH6" s="509"/>
      <c r="AI6" s="509"/>
      <c r="AJ6" s="509"/>
      <c r="AK6" s="509"/>
      <c r="AL6" s="509"/>
      <c r="AM6" s="510"/>
      <c r="AO6" s="122"/>
      <c r="AP6" s="122" t="str">
        <f aca="false">IF(T6="","",T6)</f>
        <v/>
      </c>
      <c r="AQ6" s="122"/>
      <c r="AR6" s="122"/>
      <c r="AS6" s="42" t="n">
        <v>0</v>
      </c>
    </row>
    <row r="7" customFormat="false" ht="21" hidden="true" customHeight="true" outlineLevel="0" collapsed="false">
      <c r="A7" s="417"/>
      <c r="B7" s="417"/>
      <c r="C7" s="417"/>
      <c r="D7" s="417"/>
      <c r="E7" s="418"/>
      <c r="F7" s="418"/>
      <c r="G7" s="418"/>
      <c r="H7" s="418"/>
      <c r="I7" s="434"/>
      <c r="J7" s="434" t="e">
        <f aca="false">I6&amp;".1"</f>
        <v>#N/A</v>
      </c>
      <c r="K7" s="417"/>
      <c r="L7" s="419" t="s">
        <v>403</v>
      </c>
      <c r="M7" s="45"/>
      <c r="N7" s="45"/>
      <c r="P7" s="125"/>
      <c r="Q7" s="125" t="n">
        <v>1</v>
      </c>
      <c r="R7" s="438"/>
      <c r="S7" s="422" t="e">
        <f aca="false">$J7</f>
        <v>#N/A</v>
      </c>
      <c r="T7" s="439" t="s">
        <v>404</v>
      </c>
      <c r="U7" s="424"/>
      <c r="V7" s="437"/>
      <c r="W7" s="437"/>
      <c r="X7" s="437"/>
      <c r="Y7" s="437"/>
      <c r="Z7" s="437"/>
      <c r="AA7" s="437"/>
      <c r="AB7" s="437"/>
      <c r="AC7" s="437"/>
      <c r="AD7" s="437"/>
      <c r="AE7" s="437"/>
      <c r="AF7" s="437"/>
      <c r="AG7" s="437"/>
      <c r="AH7" s="437"/>
      <c r="AI7" s="437"/>
      <c r="AJ7" s="437"/>
      <c r="AK7" s="437"/>
      <c r="AL7" s="437"/>
      <c r="AM7" s="427" t="s">
        <v>405</v>
      </c>
      <c r="AO7" s="122"/>
      <c r="AP7" s="122" t="str">
        <f aca="false">IF(T7="","",T7)</f>
        <v>Группа потребителей</v>
      </c>
      <c r="AQ7" s="122"/>
      <c r="AR7" s="122"/>
      <c r="AS7" s="42" t="n">
        <v>0</v>
      </c>
    </row>
    <row r="8" customFormat="false" ht="21" hidden="true" customHeight="true" outlineLevel="0" collapsed="false">
      <c r="A8" s="417"/>
      <c r="B8" s="417"/>
      <c r="C8" s="417"/>
      <c r="D8" s="417"/>
      <c r="E8" s="418"/>
      <c r="F8" s="418"/>
      <c r="G8" s="418"/>
      <c r="H8" s="418"/>
      <c r="I8" s="434"/>
      <c r="J8" s="434"/>
      <c r="K8" s="434" t="e">
        <f aca="false">J7&amp;".1"</f>
        <v>#N/A</v>
      </c>
      <c r="L8" s="419" t="s">
        <v>406</v>
      </c>
      <c r="M8" s="45"/>
      <c r="N8" s="45"/>
      <c r="O8" s="45"/>
      <c r="P8" s="125"/>
      <c r="Q8" s="125"/>
      <c r="R8" s="438" t="n">
        <v>1</v>
      </c>
      <c r="S8" s="422" t="e">
        <f aca="false">$K8</f>
        <v>#N/A</v>
      </c>
      <c r="T8" s="440"/>
      <c r="U8" s="424"/>
      <c r="V8" s="441"/>
      <c r="W8" s="442"/>
      <c r="X8" s="441"/>
      <c r="Y8" s="443"/>
      <c r="Z8" s="444"/>
      <c r="AA8" s="206" t="s">
        <v>64</v>
      </c>
      <c r="AB8" s="444"/>
      <c r="AC8" s="206" t="s">
        <v>64</v>
      </c>
      <c r="AD8" s="441"/>
      <c r="AE8" s="442"/>
      <c r="AF8" s="441"/>
      <c r="AG8" s="443"/>
      <c r="AH8" s="444"/>
      <c r="AI8" s="206" t="s">
        <v>64</v>
      </c>
      <c r="AJ8" s="444"/>
      <c r="AK8" s="206" t="s">
        <v>64</v>
      </c>
      <c r="AL8" s="442"/>
      <c r="AM8" s="445" t="s">
        <v>407</v>
      </c>
      <c r="AN8" s="49" t="e">
        <f aca="false">strcheckdate(V9:AL9)</f>
        <v>#NAME?</v>
      </c>
      <c r="AO8" s="122"/>
      <c r="AP8" s="122" t="str">
        <f aca="false">IF(T8="","",T8)</f>
        <v/>
      </c>
      <c r="AQ8" s="122"/>
      <c r="AR8" s="122"/>
      <c r="AS8" s="42" t="n">
        <v>0</v>
      </c>
    </row>
    <row r="9" customFormat="false" ht="14.25" hidden="true" customHeight="true" outlineLevel="0" collapsed="false">
      <c r="A9" s="417"/>
      <c r="B9" s="417"/>
      <c r="C9" s="417"/>
      <c r="D9" s="417"/>
      <c r="E9" s="418"/>
      <c r="F9" s="418"/>
      <c r="G9" s="418"/>
      <c r="H9" s="418"/>
      <c r="I9" s="434"/>
      <c r="J9" s="434"/>
      <c r="K9" s="434"/>
      <c r="L9" s="419"/>
      <c r="M9" s="45"/>
      <c r="N9" s="45"/>
      <c r="O9" s="45"/>
      <c r="P9" s="125"/>
      <c r="Q9" s="125"/>
      <c r="R9" s="438"/>
      <c r="S9" s="397"/>
      <c r="T9" s="424"/>
      <c r="U9" s="424"/>
      <c r="V9" s="442"/>
      <c r="W9" s="442"/>
      <c r="X9" s="442"/>
      <c r="Y9" s="446" t="str">
        <f aca="false">Z8&amp;"-"&amp;AB8</f>
        <v>-</v>
      </c>
      <c r="Z9" s="444"/>
      <c r="AA9" s="206"/>
      <c r="AB9" s="444"/>
      <c r="AC9" s="206"/>
      <c r="AD9" s="442"/>
      <c r="AE9" s="442"/>
      <c r="AF9" s="442"/>
      <c r="AG9" s="446" t="str">
        <f aca="false">AH8&amp;"-"&amp;AJ8</f>
        <v>-</v>
      </c>
      <c r="AH9" s="444"/>
      <c r="AI9" s="206"/>
      <c r="AJ9" s="444"/>
      <c r="AK9" s="206"/>
      <c r="AL9" s="442"/>
      <c r="AM9" s="445"/>
      <c r="AO9" s="122"/>
      <c r="AP9" s="122" t="str">
        <f aca="false">IF(T9="","",T9)</f>
        <v/>
      </c>
      <c r="AQ9" s="122"/>
      <c r="AR9" s="122"/>
      <c r="AS9" s="42" t="n">
        <v>0</v>
      </c>
    </row>
    <row r="10" customFormat="false" ht="15" hidden="true" customHeight="true" outlineLevel="0" collapsed="false">
      <c r="A10" s="417"/>
      <c r="B10" s="417"/>
      <c r="C10" s="417"/>
      <c r="D10" s="417"/>
      <c r="E10" s="418"/>
      <c r="F10" s="418"/>
      <c r="G10" s="418"/>
      <c r="H10" s="418"/>
      <c r="I10" s="434"/>
      <c r="J10" s="434"/>
      <c r="K10" s="417"/>
      <c r="L10" s="419"/>
      <c r="M10" s="45"/>
      <c r="N10" s="45"/>
      <c r="P10" s="125"/>
      <c r="Q10" s="125"/>
      <c r="R10" s="435"/>
      <c r="S10" s="447"/>
      <c r="T10" s="450" t="s">
        <v>408</v>
      </c>
      <c r="U10" s="196"/>
      <c r="V10" s="196"/>
      <c r="W10" s="196"/>
      <c r="X10" s="196"/>
      <c r="Y10" s="196"/>
      <c r="Z10" s="196"/>
      <c r="AA10" s="196"/>
      <c r="AB10" s="196"/>
      <c r="AC10" s="196"/>
      <c r="AD10" s="196"/>
      <c r="AE10" s="196"/>
      <c r="AF10" s="196"/>
      <c r="AG10" s="196"/>
      <c r="AH10" s="196"/>
      <c r="AI10" s="196"/>
      <c r="AJ10" s="196"/>
      <c r="AK10" s="196"/>
      <c r="AL10" s="449"/>
      <c r="AM10" s="445"/>
      <c r="AO10" s="122"/>
      <c r="AP10" s="122" t="str">
        <f aca="false">IF(T10="","",T10)</f>
        <v>Добавить вид теплоносителя (параметры теплоносителя)</v>
      </c>
      <c r="AQ10" s="122"/>
      <c r="AR10" s="122"/>
      <c r="AS10" s="42" t="n">
        <v>0</v>
      </c>
    </row>
    <row r="11" customFormat="false" ht="11.25" hidden="true" customHeight="true" outlineLevel="0" collapsed="false">
      <c r="A11" s="417"/>
      <c r="B11" s="417"/>
      <c r="C11" s="417"/>
      <c r="D11" s="417"/>
      <c r="E11" s="418"/>
      <c r="F11" s="418"/>
      <c r="G11" s="418"/>
      <c r="H11" s="418"/>
      <c r="I11" s="434"/>
      <c r="J11" s="417"/>
      <c r="K11" s="417"/>
      <c r="L11" s="419"/>
      <c r="M11" s="45"/>
      <c r="P11" s="125"/>
      <c r="Q11" s="125"/>
      <c r="R11" s="435"/>
      <c r="S11" s="447"/>
      <c r="T11" s="454" t="s">
        <v>409</v>
      </c>
      <c r="U11" s="196"/>
      <c r="V11" s="196"/>
      <c r="W11" s="196"/>
      <c r="X11" s="196"/>
      <c r="Y11" s="196"/>
      <c r="Z11" s="196"/>
      <c r="AA11" s="196"/>
      <c r="AB11" s="196"/>
      <c r="AC11" s="451"/>
      <c r="AD11" s="196"/>
      <c r="AE11" s="196"/>
      <c r="AF11" s="196"/>
      <c r="AG11" s="196"/>
      <c r="AH11" s="196"/>
      <c r="AI11" s="196"/>
      <c r="AJ11" s="196"/>
      <c r="AK11" s="451"/>
      <c r="AL11" s="196"/>
      <c r="AM11" s="452"/>
      <c r="AO11" s="122"/>
      <c r="AP11" s="122" t="str">
        <f aca="false">IF(T11="","",T11)</f>
        <v>Добавить группу потребителей</v>
      </c>
      <c r="AQ11" s="122"/>
      <c r="AR11" s="122"/>
      <c r="AS11" s="42" t="n">
        <v>0</v>
      </c>
    </row>
    <row r="12" customFormat="false" ht="14.25" hidden="true" customHeight="true" outlineLevel="0" collapsed="false">
      <c r="A12" s="417"/>
      <c r="B12" s="417"/>
      <c r="C12" s="417"/>
      <c r="D12" s="417"/>
      <c r="E12" s="418"/>
      <c r="F12" s="418"/>
      <c r="G12" s="418"/>
      <c r="H12" s="418"/>
      <c r="I12" s="417"/>
      <c r="J12" s="417"/>
      <c r="K12" s="417"/>
      <c r="L12" s="419"/>
      <c r="M12" s="420"/>
      <c r="N12" s="420"/>
      <c r="O12" s="45"/>
      <c r="P12" s="136"/>
      <c r="Q12" s="453"/>
      <c r="R12" s="421"/>
      <c r="S12" s="511"/>
      <c r="T12" s="512"/>
      <c r="U12" s="513"/>
      <c r="V12" s="513"/>
      <c r="W12" s="513"/>
      <c r="X12" s="513"/>
      <c r="Y12" s="513"/>
      <c r="Z12" s="513"/>
      <c r="AA12" s="513"/>
      <c r="AB12" s="513"/>
      <c r="AC12" s="513"/>
      <c r="AD12" s="513"/>
      <c r="AE12" s="513"/>
      <c r="AF12" s="513"/>
      <c r="AG12" s="513"/>
      <c r="AH12" s="513"/>
      <c r="AI12" s="513"/>
      <c r="AJ12" s="513"/>
      <c r="AK12" s="513"/>
      <c r="AL12" s="513"/>
      <c r="AM12" s="514"/>
      <c r="AO12" s="122"/>
      <c r="AP12" s="122" t="str">
        <f aca="false">IF(T12="","",T12)</f>
        <v/>
      </c>
      <c r="AQ12" s="122"/>
      <c r="AR12" s="122"/>
      <c r="AS12" s="42" t="n">
        <v>0</v>
      </c>
    </row>
    <row r="13" s="49" customFormat="true" ht="14.25" hidden="true" customHeight="true" outlineLevel="0" collapsed="false">
      <c r="A13" s="126"/>
      <c r="B13" s="126"/>
      <c r="C13" s="126"/>
      <c r="D13" s="126"/>
      <c r="E13" s="418"/>
      <c r="F13" s="418"/>
      <c r="G13" s="418"/>
      <c r="H13" s="126"/>
      <c r="I13" s="126"/>
      <c r="J13" s="126"/>
      <c r="K13" s="126"/>
      <c r="L13" s="194"/>
      <c r="M13" s="402"/>
      <c r="N13" s="402"/>
      <c r="P13" s="160"/>
      <c r="Q13" s="455"/>
      <c r="R13" s="160"/>
      <c r="S13" s="456"/>
      <c r="T13" s="457" t="s">
        <v>411</v>
      </c>
      <c r="U13" s="458"/>
      <c r="V13" s="458"/>
      <c r="W13" s="458"/>
      <c r="X13" s="458"/>
      <c r="Y13" s="458"/>
      <c r="Z13" s="458"/>
      <c r="AA13" s="458"/>
      <c r="AB13" s="458"/>
      <c r="AC13" s="458"/>
      <c r="AD13" s="458"/>
      <c r="AE13" s="458"/>
      <c r="AF13" s="458"/>
      <c r="AG13" s="458"/>
      <c r="AH13" s="458"/>
      <c r="AI13" s="458"/>
      <c r="AJ13" s="458"/>
      <c r="AK13" s="458"/>
      <c r="AL13" s="458"/>
      <c r="AM13" s="458"/>
      <c r="AO13" s="122"/>
      <c r="AP13" s="122" t="str">
        <f aca="false">IF(T13="","",T13)</f>
        <v>Добавить источник для дифференциации</v>
      </c>
      <c r="AQ13" s="122"/>
      <c r="AR13" s="122"/>
      <c r="AS13" s="49" t="n">
        <v>0</v>
      </c>
    </row>
    <row r="14" s="49" customFormat="true" ht="14.25" hidden="true" customHeight="true" outlineLevel="0" collapsed="false">
      <c r="A14" s="126"/>
      <c r="B14" s="126"/>
      <c r="C14" s="126"/>
      <c r="D14" s="126"/>
      <c r="E14" s="418"/>
      <c r="F14" s="418"/>
      <c r="G14" s="126"/>
      <c r="H14" s="126"/>
      <c r="I14" s="126"/>
      <c r="J14" s="126"/>
      <c r="K14" s="126"/>
      <c r="L14" s="194"/>
      <c r="M14" s="459"/>
      <c r="N14" s="459"/>
      <c r="P14" s="160"/>
      <c r="Q14" s="455"/>
      <c r="R14" s="160"/>
      <c r="S14" s="460"/>
      <c r="T14" s="461" t="s">
        <v>412</v>
      </c>
      <c r="U14" s="462"/>
      <c r="V14" s="462"/>
      <c r="W14" s="462"/>
      <c r="X14" s="462"/>
      <c r="Y14" s="462"/>
      <c r="Z14" s="462"/>
      <c r="AA14" s="462"/>
      <c r="AB14" s="462"/>
      <c r="AC14" s="462"/>
      <c r="AD14" s="462"/>
      <c r="AE14" s="462"/>
      <c r="AF14" s="462"/>
      <c r="AG14" s="462"/>
      <c r="AH14" s="462"/>
      <c r="AI14" s="462"/>
      <c r="AJ14" s="462"/>
      <c r="AK14" s="462"/>
      <c r="AL14" s="462"/>
      <c r="AM14" s="462"/>
      <c r="AO14" s="122"/>
      <c r="AP14" s="122" t="str">
        <f aca="false">IF(T14="","",T14)</f>
        <v>Добавить централизованную систему для дифференциации</v>
      </c>
      <c r="AQ14" s="122"/>
      <c r="AR14" s="122"/>
      <c r="AS14" s="49" t="n">
        <v>0</v>
      </c>
    </row>
    <row r="15" s="49" customFormat="true" ht="14.25" hidden="true" customHeight="true" outlineLevel="0" collapsed="false">
      <c r="A15" s="126"/>
      <c r="B15" s="126"/>
      <c r="C15" s="126"/>
      <c r="D15" s="126"/>
      <c r="E15" s="418"/>
      <c r="F15" s="126"/>
      <c r="G15" s="126"/>
      <c r="H15" s="126"/>
      <c r="I15" s="126"/>
      <c r="J15" s="126"/>
      <c r="K15" s="126"/>
      <c r="L15" s="194"/>
      <c r="M15" s="459"/>
      <c r="N15" s="459"/>
      <c r="P15" s="160"/>
      <c r="Q15" s="455"/>
      <c r="R15" s="160"/>
      <c r="S15" s="460"/>
      <c r="T15" s="463" t="s">
        <v>413</v>
      </c>
      <c r="U15" s="462"/>
      <c r="V15" s="462"/>
      <c r="W15" s="462"/>
      <c r="X15" s="462"/>
      <c r="Y15" s="462"/>
      <c r="Z15" s="462"/>
      <c r="AA15" s="462"/>
      <c r="AB15" s="462"/>
      <c r="AC15" s="462"/>
      <c r="AD15" s="462"/>
      <c r="AE15" s="462"/>
      <c r="AF15" s="462"/>
      <c r="AG15" s="462"/>
      <c r="AH15" s="462"/>
      <c r="AI15" s="462"/>
      <c r="AJ15" s="462"/>
      <c r="AK15" s="462"/>
      <c r="AL15" s="462"/>
      <c r="AM15" s="462"/>
      <c r="AO15" s="122"/>
      <c r="AP15" s="122" t="str">
        <f aca="false">IF(T15="","",T15)</f>
        <v>Добавить территорию для дифференциации</v>
      </c>
      <c r="AQ15" s="122"/>
      <c r="AR15" s="122"/>
      <c r="AS15" s="49" t="n">
        <v>0</v>
      </c>
    </row>
    <row r="16" customFormat="false" ht="14.25" hidden="true" customHeight="true" outlineLevel="0" collapsed="false">
      <c r="AS16" s="42" t="n">
        <v>0</v>
      </c>
    </row>
    <row r="17" customFormat="false" ht="14.25" hidden="true" customHeight="true" outlineLevel="0" collapsed="false">
      <c r="AD17" s="464"/>
      <c r="AE17" s="464"/>
      <c r="AF17" s="464"/>
      <c r="AG17" s="465"/>
      <c r="AH17" s="466"/>
      <c r="AI17" s="467" t="s">
        <v>64</v>
      </c>
      <c r="AJ17" s="466"/>
      <c r="AK17" s="467" t="s">
        <v>64</v>
      </c>
      <c r="AS17" s="42" t="n">
        <v>0</v>
      </c>
    </row>
    <row r="18" customFormat="false" ht="14.25" hidden="true" customHeight="true" outlineLevel="0" collapsed="false">
      <c r="AD18" s="464"/>
      <c r="AE18" s="464"/>
      <c r="AF18" s="464"/>
      <c r="AG18" s="446" t="str">
        <f aca="false">AH17&amp;"-"&amp;AJ17</f>
        <v>-</v>
      </c>
      <c r="AH18" s="466"/>
      <c r="AI18" s="466"/>
      <c r="AJ18" s="466"/>
      <c r="AK18" s="466"/>
      <c r="AS18" s="42" t="n">
        <v>0</v>
      </c>
    </row>
    <row r="19" customFormat="false" ht="14.25" hidden="true" customHeight="true" outlineLevel="0" collapsed="false">
      <c r="AS19" s="42" t="n">
        <v>0</v>
      </c>
    </row>
    <row r="20" s="45" customFormat="true" ht="22.5" hidden="true" customHeight="true" outlineLevel="0" collapsed="false">
      <c r="L20" s="107"/>
      <c r="M20" s="53"/>
      <c r="N20" s="53"/>
      <c r="O20" s="468" t="s">
        <v>414</v>
      </c>
      <c r="P20" s="53"/>
      <c r="Q20" s="469"/>
      <c r="R20" s="469"/>
      <c r="S20" s="420"/>
      <c r="Z20" s="468"/>
      <c r="AB20" s="468"/>
      <c r="AH20" s="468"/>
      <c r="AJ20" s="468"/>
      <c r="AN20" s="49"/>
      <c r="AO20" s="49"/>
      <c r="AP20" s="49"/>
      <c r="AQ20" s="49"/>
      <c r="AR20" s="49"/>
      <c r="AS20" s="45" t="n">
        <v>0</v>
      </c>
    </row>
    <row r="21" s="45" customFormat="true" ht="14.25" hidden="true" customHeight="true" outlineLevel="0" collapsed="false">
      <c r="L21" s="107"/>
      <c r="M21" s="53"/>
      <c r="N21" s="53"/>
      <c r="O21" s="53"/>
      <c r="P21" s="53"/>
      <c r="Q21" s="469"/>
      <c r="R21" s="469"/>
      <c r="S21" s="420"/>
      <c r="AN21" s="49"/>
      <c r="AO21" s="49"/>
      <c r="AP21" s="49"/>
      <c r="AQ21" s="49"/>
      <c r="AR21" s="49"/>
      <c r="AS21" s="45" t="n">
        <v>0</v>
      </c>
    </row>
    <row r="22" s="45" customFormat="true" ht="14.25" hidden="true" customHeight="true" outlineLevel="0" collapsed="false">
      <c r="L22" s="107"/>
      <c r="M22" s="53"/>
      <c r="N22" s="53"/>
      <c r="O22" s="419" t="s">
        <v>415</v>
      </c>
      <c r="P22" s="53"/>
      <c r="Q22" s="469"/>
      <c r="R22" s="469"/>
      <c r="S22" s="420"/>
      <c r="T22" s="45" t="s">
        <v>416</v>
      </c>
      <c r="AA22" s="144" t="s">
        <v>417</v>
      </c>
      <c r="AC22" s="144" t="s">
        <v>418</v>
      </c>
      <c r="AD22" s="45" t="s">
        <v>416</v>
      </c>
      <c r="AI22" s="144" t="s">
        <v>419</v>
      </c>
      <c r="AK22" s="144" t="s">
        <v>418</v>
      </c>
      <c r="AN22" s="49"/>
      <c r="AO22" s="49"/>
      <c r="AP22" s="49"/>
      <c r="AQ22" s="49"/>
      <c r="AR22" s="49"/>
      <c r="AS22" s="45" t="n">
        <v>0</v>
      </c>
    </row>
    <row r="23" customFormat="false" ht="14.25" hidden="true" customHeight="true" outlineLevel="0" collapsed="false">
      <c r="O23" s="419"/>
      <c r="AS23" s="42" t="n">
        <v>0</v>
      </c>
    </row>
    <row r="24" customFormat="false" ht="14.25" hidden="true" customHeight="true" outlineLevel="0" collapsed="false">
      <c r="O24" s="419"/>
      <c r="AS24" s="42" t="n">
        <v>0</v>
      </c>
    </row>
    <row r="25" customFormat="false" ht="14.25" hidden="false" customHeight="true" outlineLevel="0" collapsed="false">
      <c r="Q25" s="470"/>
      <c r="R25" s="470"/>
      <c r="S25" s="471"/>
      <c r="T25" s="83"/>
      <c r="U25" s="83"/>
      <c r="AS25" s="42" t="n">
        <v>14</v>
      </c>
    </row>
    <row r="26" customFormat="false" ht="53.25" hidden="false" customHeight="true" outlineLevel="0" collapsed="false">
      <c r="Q26" s="470"/>
      <c r="R26" s="470"/>
      <c r="S26" s="215"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
      <c r="U26" s="215"/>
      <c r="V26" s="215"/>
      <c r="W26" s="215"/>
      <c r="X26" s="215"/>
      <c r="Y26" s="215"/>
      <c r="Z26" s="215"/>
      <c r="AA26" s="215"/>
      <c r="AB26" s="215"/>
      <c r="AC26" s="215"/>
      <c r="AD26" s="215"/>
      <c r="AE26" s="215"/>
      <c r="AF26" s="215"/>
      <c r="AG26" s="215"/>
      <c r="AH26" s="215"/>
      <c r="AI26" s="215"/>
      <c r="AJ26" s="215"/>
      <c r="AK26" s="217"/>
      <c r="AS26" s="42" t="n">
        <v>51</v>
      </c>
    </row>
    <row r="27" customFormat="false" ht="14.25" hidden="false" customHeight="true" outlineLevel="0" collapsed="false">
      <c r="Q27" s="470"/>
      <c r="R27" s="470"/>
      <c r="S27" s="259" t="str">
        <f aca="false">IF(org=0,"Не определено",org)</f>
        <v>Филиал ПАО "ОГК-2" - Серовская ГРЭС, г. Серов</v>
      </c>
      <c r="T27" s="259"/>
      <c r="U27" s="259"/>
      <c r="V27" s="259"/>
      <c r="W27" s="259"/>
      <c r="X27" s="259"/>
      <c r="Y27" s="259"/>
      <c r="Z27" s="259"/>
      <c r="AA27" s="259"/>
      <c r="AB27" s="259"/>
      <c r="AC27" s="259"/>
      <c r="AD27" s="259"/>
      <c r="AE27" s="259"/>
      <c r="AF27" s="259"/>
      <c r="AG27" s="259"/>
      <c r="AH27" s="259"/>
      <c r="AI27" s="259"/>
      <c r="AJ27" s="259"/>
      <c r="AK27" s="217"/>
      <c r="AS27" s="42" t="n">
        <v>14</v>
      </c>
    </row>
    <row r="28" customFormat="false" ht="14.25" hidden="true" customHeight="true" outlineLevel="0" collapsed="false">
      <c r="Q28" s="470"/>
      <c r="R28" s="470"/>
      <c r="S28" s="471"/>
      <c r="T28" s="83"/>
      <c r="U28" s="83"/>
      <c r="V28" s="472"/>
      <c r="W28" s="472"/>
      <c r="X28" s="472"/>
      <c r="Y28" s="472"/>
      <c r="Z28" s="472"/>
      <c r="AA28" s="472"/>
      <c r="AB28" s="472"/>
      <c r="AC28" s="472"/>
      <c r="AD28" s="472"/>
      <c r="AE28" s="472"/>
      <c r="AF28" s="472"/>
      <c r="AG28" s="472"/>
      <c r="AH28" s="472"/>
      <c r="AI28" s="472"/>
      <c r="AJ28" s="472"/>
      <c r="AK28" s="472"/>
      <c r="AS28" s="42" t="n">
        <v>0</v>
      </c>
    </row>
    <row r="29" s="177" customFormat="true" ht="25.5" hidden="true" customHeight="true" outlineLevel="0" collapsed="false">
      <c r="A29" s="144"/>
      <c r="B29" s="144"/>
      <c r="C29" s="144"/>
      <c r="D29" s="144"/>
      <c r="E29" s="144"/>
      <c r="F29" s="144"/>
      <c r="G29" s="144"/>
      <c r="H29" s="144"/>
      <c r="I29" s="144"/>
      <c r="J29" s="144"/>
      <c r="K29" s="144"/>
      <c r="L29" s="419"/>
      <c r="M29" s="144"/>
      <c r="N29" s="144"/>
      <c r="O29" s="144"/>
      <c r="S29" s="473" t="s">
        <v>41</v>
      </c>
      <c r="T29" s="473"/>
      <c r="U29" s="474"/>
      <c r="V29" s="475" t="str">
        <f aca="false">IF(TITLE_NAME_OR_PR_CHANGE="",IF(TITLE_NAME_OR_PR="","",TITLE_NAME_OR_PR),TITLE_NAME_OR_PR_CHANGE)</f>
        <v/>
      </c>
      <c r="W29" s="475"/>
      <c r="X29" s="475"/>
      <c r="Y29" s="475"/>
      <c r="Z29" s="475"/>
      <c r="AA29" s="475"/>
      <c r="AB29" s="475"/>
      <c r="AC29" s="42"/>
      <c r="AD29" s="475" t="str">
        <f aca="false">IF(TITLE_NAME_OR_PR_CHANGE="",IF(TITLE_NAME_OR_PR="","",TITLE_NAME_OR_PR),TITLE_NAME_OR_PR_CHANGE)</f>
        <v/>
      </c>
      <c r="AE29" s="475"/>
      <c r="AF29" s="475"/>
      <c r="AG29" s="475"/>
      <c r="AH29" s="475"/>
      <c r="AI29" s="475"/>
      <c r="AJ29" s="475"/>
      <c r="AK29" s="42"/>
      <c r="AL29" s="42"/>
      <c r="AM29" s="476"/>
      <c r="AN29" s="122"/>
      <c r="AO29" s="122"/>
      <c r="AP29" s="122"/>
      <c r="AQ29" s="122"/>
      <c r="AR29" s="122"/>
      <c r="AS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420</v>
      </c>
      <c r="T30" s="473"/>
      <c r="U30" s="474"/>
      <c r="V30" s="477" t="str">
        <f aca="false">IF(TITLE_DATE_PR_CHANGE="",IF(TITLE_DATE_PR="","",TITLE_DATE_PR),TITLE_DATE_PR_CHANGE)</f>
        <v/>
      </c>
      <c r="W30" s="477"/>
      <c r="X30" s="477"/>
      <c r="Y30" s="477"/>
      <c r="Z30" s="477"/>
      <c r="AA30" s="477"/>
      <c r="AB30" s="477"/>
      <c r="AC30" s="42"/>
      <c r="AD30" s="477" t="str">
        <f aca="false">IF(TITLE_DATE_PR_CHANGE="",IF(TITLE_DATE_PR="","",TITLE_DATE_PR),TITLE_DATE_PR_CHANGE)</f>
        <v/>
      </c>
      <c r="AE30" s="477"/>
      <c r="AF30" s="477"/>
      <c r="AG30" s="477"/>
      <c r="AH30" s="477"/>
      <c r="AI30" s="477"/>
      <c r="AJ30" s="477"/>
      <c r="AK30" s="42"/>
      <c r="AL30" s="42"/>
      <c r="AM30" s="476"/>
      <c r="AN30" s="122"/>
      <c r="AO30" s="122"/>
      <c r="AP30" s="122"/>
      <c r="AQ30" s="122"/>
      <c r="AR30" s="122"/>
      <c r="AS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S31" s="473" t="s">
        <v>421</v>
      </c>
      <c r="T31" s="473"/>
      <c r="U31" s="474"/>
      <c r="V31" s="475" t="str">
        <f aca="false">IF(TITLE_NUMBER_PR_CHANGE="",IF(TITLE_NUMBER_PR="","",TITLE_NUMBER_PR),TITLE_NUMBER_PR_CHANGE)</f>
        <v/>
      </c>
      <c r="W31" s="475"/>
      <c r="X31" s="475"/>
      <c r="Y31" s="475"/>
      <c r="Z31" s="475"/>
      <c r="AA31" s="475"/>
      <c r="AB31" s="475"/>
      <c r="AC31" s="42"/>
      <c r="AD31" s="475" t="str">
        <f aca="false">IF(TITLE_NUMBER_PR_CHANGE="",IF(TITLE_NUMBER_PR="","",TITLE_NUMBER_PR),TITLE_NUMBER_PR_CHANGE)</f>
        <v/>
      </c>
      <c r="AE31" s="475"/>
      <c r="AF31" s="475"/>
      <c r="AG31" s="475"/>
      <c r="AH31" s="475"/>
      <c r="AI31" s="475"/>
      <c r="AJ31" s="475"/>
      <c r="AK31" s="42"/>
      <c r="AL31" s="42"/>
      <c r="AM31" s="476"/>
      <c r="AN31" s="122"/>
      <c r="AO31" s="122"/>
      <c r="AP31" s="122"/>
      <c r="AQ31" s="122"/>
      <c r="AR31" s="122"/>
      <c r="AS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v>
      </c>
      <c r="T32" s="473"/>
      <c r="U32" s="474"/>
      <c r="V32" s="475" t="str">
        <f aca="false">IF(TITLE_IST_PUB_CHANGE="",IF(TITLE_IST_PUB="","",TITLE_IST_PUB),TITLE_IST_PUB_CHANGE)</f>
        <v/>
      </c>
      <c r="W32" s="475"/>
      <c r="X32" s="475"/>
      <c r="Y32" s="475"/>
      <c r="Z32" s="475"/>
      <c r="AA32" s="475"/>
      <c r="AB32" s="475"/>
      <c r="AC32" s="42"/>
      <c r="AD32" s="475" t="str">
        <f aca="false">IF(TITLE_IST_PUB_CHANGE="",IF(TITLE_IST_PUB="","",TITLE_IST_PUB),TITLE_IST_PUB_CHANGE)</f>
        <v/>
      </c>
      <c r="AE32" s="475"/>
      <c r="AF32" s="475"/>
      <c r="AG32" s="475"/>
      <c r="AH32" s="475"/>
      <c r="AI32" s="475"/>
      <c r="AJ32" s="475"/>
      <c r="AK32" s="42"/>
      <c r="AL32" s="42"/>
      <c r="AM32" s="476"/>
      <c r="AN32" s="122"/>
      <c r="AO32" s="122"/>
      <c r="AP32" s="122"/>
      <c r="AQ32" s="122"/>
      <c r="AR32" s="122"/>
      <c r="AS32" s="177" t="n">
        <v>0</v>
      </c>
    </row>
    <row r="33" customFormat="false" ht="14.25" hidden="true" customHeight="true" outlineLevel="0" collapsed="false">
      <c r="Q33" s="470"/>
      <c r="R33" s="470"/>
      <c r="S33" s="471"/>
      <c r="T33" s="83"/>
      <c r="U33" s="83"/>
      <c r="V33" s="472"/>
      <c r="W33" s="472"/>
      <c r="X33" s="472"/>
      <c r="Y33" s="472"/>
      <c r="Z33" s="472"/>
      <c r="AA33" s="472"/>
      <c r="AB33" s="472"/>
      <c r="AC33" s="472"/>
      <c r="AD33" s="472"/>
      <c r="AE33" s="472"/>
      <c r="AF33" s="472"/>
      <c r="AG33" s="472"/>
      <c r="AH33" s="472"/>
      <c r="AI33" s="472"/>
      <c r="AJ33" s="472"/>
      <c r="AK33" s="472"/>
      <c r="AS33" s="42"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S34" s="473" t="s">
        <v>422</v>
      </c>
      <c r="T34" s="473"/>
      <c r="U34" s="474"/>
      <c r="V34" s="477" t="str">
        <f aca="false">IF(TITLE_DATE_PR_CHANGE="",IF(TITLE_DATE_PR="","",TITLE_DATE_PR),TITLE_DATE_PR_CHANGE)</f>
        <v/>
      </c>
      <c r="W34" s="477"/>
      <c r="X34" s="477"/>
      <c r="Y34" s="477"/>
      <c r="Z34" s="477"/>
      <c r="AA34" s="477"/>
      <c r="AB34" s="477"/>
      <c r="AC34" s="42"/>
      <c r="AD34" s="477" t="str">
        <f aca="false">IF(TITLE_DATE_PR_CHANGE="",IF(TITLE_DATE_PR="","",TITLE_DATE_PR),TITLE_DATE_PR_CHANGE)</f>
        <v/>
      </c>
      <c r="AE34" s="477"/>
      <c r="AF34" s="477"/>
      <c r="AG34" s="477"/>
      <c r="AH34" s="477"/>
      <c r="AI34" s="477"/>
      <c r="AJ34" s="477"/>
      <c r="AK34" s="42"/>
      <c r="AL34" s="42"/>
      <c r="AM34" s="476"/>
      <c r="AN34" s="122"/>
      <c r="AO34" s="122"/>
      <c r="AP34" s="122"/>
      <c r="AQ34" s="122"/>
      <c r="AR34" s="122"/>
      <c r="AS34" s="177" t="n">
        <v>0</v>
      </c>
    </row>
    <row r="35" s="177" customFormat="true" ht="25.5" hidden="true" customHeight="true" outlineLevel="0" collapsed="false">
      <c r="A35" s="144"/>
      <c r="B35" s="144"/>
      <c r="C35" s="144"/>
      <c r="D35" s="144"/>
      <c r="E35" s="144"/>
      <c r="F35" s="144"/>
      <c r="G35" s="144"/>
      <c r="H35" s="144"/>
      <c r="I35" s="144"/>
      <c r="J35" s="144"/>
      <c r="K35" s="144"/>
      <c r="L35" s="419"/>
      <c r="M35" s="144"/>
      <c r="N35" s="144"/>
      <c r="O35" s="144"/>
      <c r="S35" s="473" t="s">
        <v>423</v>
      </c>
      <c r="T35" s="473"/>
      <c r="U35" s="474"/>
      <c r="V35" s="475" t="str">
        <f aca="false">IF(TITLE_NUMBER_PR_CHANGE="",IF(TITLE_NUMBER_PR="","",TITLE_NUMBER_PR),TITLE_NUMBER_PR_CHANGE)</f>
        <v/>
      </c>
      <c r="W35" s="475"/>
      <c r="X35" s="475"/>
      <c r="Y35" s="475"/>
      <c r="Z35" s="475"/>
      <c r="AA35" s="475"/>
      <c r="AB35" s="475"/>
      <c r="AC35" s="42"/>
      <c r="AD35" s="475" t="str">
        <f aca="false">IF(TITLE_NUMBER_PR_CHANGE="",IF(TITLE_NUMBER_PR="","",TITLE_NUMBER_PR),TITLE_NUMBER_PR_CHANGE)</f>
        <v/>
      </c>
      <c r="AE35" s="475"/>
      <c r="AF35" s="475"/>
      <c r="AG35" s="475"/>
      <c r="AH35" s="475"/>
      <c r="AI35" s="475"/>
      <c r="AJ35" s="475"/>
      <c r="AK35" s="42"/>
      <c r="AL35" s="42"/>
      <c r="AM35" s="476"/>
      <c r="AN35" s="122"/>
      <c r="AO35" s="122"/>
      <c r="AP35" s="122"/>
      <c r="AQ35" s="122"/>
      <c r="AR35" s="122"/>
      <c r="AS35" s="177" t="n">
        <v>0</v>
      </c>
    </row>
    <row r="36" s="177" customFormat="true" ht="14.35" hidden="false" customHeight="false" outlineLevel="0" collapsed="false">
      <c r="A36" s="144"/>
      <c r="B36" s="144"/>
      <c r="C36" s="144"/>
      <c r="D36" s="144"/>
      <c r="E36" s="144"/>
      <c r="F36" s="144"/>
      <c r="G36" s="144"/>
      <c r="H36" s="144"/>
      <c r="I36" s="144"/>
      <c r="J36" s="144"/>
      <c r="K36" s="144"/>
      <c r="L36" s="419"/>
      <c r="M36" s="144"/>
      <c r="N36" s="144"/>
      <c r="O36" s="144"/>
      <c r="S36" s="42"/>
      <c r="T36" s="42"/>
      <c r="U36" s="132"/>
      <c r="V36" s="42"/>
      <c r="W36" s="42"/>
      <c r="X36" s="42"/>
      <c r="Y36" s="42"/>
      <c r="Z36" s="42"/>
      <c r="AA36" s="42"/>
      <c r="AB36" s="42"/>
      <c r="AC36" s="49" t="s">
        <v>424</v>
      </c>
      <c r="AD36" s="42"/>
      <c r="AE36" s="42"/>
      <c r="AF36" s="42"/>
      <c r="AG36" s="42"/>
      <c r="AH36" s="42"/>
      <c r="AI36" s="42"/>
      <c r="AJ36" s="42"/>
      <c r="AK36" s="49" t="s">
        <v>424</v>
      </c>
      <c r="AN36" s="122"/>
      <c r="AO36" s="122"/>
      <c r="AP36" s="122"/>
      <c r="AQ36" s="122"/>
      <c r="AR36" s="122"/>
      <c r="AS36" s="177" t="n">
        <v>0</v>
      </c>
    </row>
    <row r="37" customFormat="false" ht="14.25" hidden="false" customHeight="true" outlineLevel="0" collapsed="false">
      <c r="Q37" s="470"/>
      <c r="R37" s="470"/>
      <c r="S37" s="471"/>
      <c r="T37" s="83"/>
      <c r="U37" s="478"/>
      <c r="V37" s="479"/>
      <c r="W37" s="479"/>
      <c r="X37" s="479"/>
      <c r="Y37" s="479"/>
      <c r="Z37" s="479"/>
      <c r="AA37" s="479"/>
      <c r="AB37" s="479"/>
      <c r="AC37" s="479"/>
      <c r="AD37" s="479"/>
      <c r="AE37" s="479"/>
      <c r="AF37" s="479"/>
      <c r="AG37" s="479"/>
      <c r="AH37" s="479"/>
      <c r="AI37" s="479"/>
      <c r="AJ37" s="479"/>
      <c r="AK37" s="479"/>
      <c r="AS37" s="42" t="n">
        <v>14</v>
      </c>
    </row>
    <row r="38" customFormat="false" ht="14.25" hidden="false" customHeight="true" outlineLevel="0" collapsed="false">
      <c r="Q38" s="470"/>
      <c r="R38" s="470"/>
      <c r="S38" s="138" t="s">
        <v>297</v>
      </c>
      <c r="T38" s="138"/>
      <c r="U38" s="138"/>
      <c r="V38" s="138"/>
      <c r="W38" s="138"/>
      <c r="X38" s="138"/>
      <c r="Y38" s="138"/>
      <c r="Z38" s="138"/>
      <c r="AA38" s="138"/>
      <c r="AB38" s="138"/>
      <c r="AC38" s="138"/>
      <c r="AD38" s="138"/>
      <c r="AE38" s="138"/>
      <c r="AF38" s="138"/>
      <c r="AG38" s="138"/>
      <c r="AH38" s="138"/>
      <c r="AI38" s="138"/>
      <c r="AJ38" s="138"/>
      <c r="AK38" s="138"/>
      <c r="AL38" s="138"/>
      <c r="AM38" s="138" t="s">
        <v>298</v>
      </c>
      <c r="AS38" s="42" t="n">
        <v>14</v>
      </c>
    </row>
    <row r="39" customFormat="false" ht="14.25" hidden="false" customHeight="true" outlineLevel="0" collapsed="false">
      <c r="Q39" s="470"/>
      <c r="R39" s="470"/>
      <c r="S39" s="480" t="s">
        <v>86</v>
      </c>
      <c r="T39" s="395" t="s">
        <v>425</v>
      </c>
      <c r="U39" s="481"/>
      <c r="V39" s="294" t="s">
        <v>426</v>
      </c>
      <c r="W39" s="294"/>
      <c r="X39" s="294"/>
      <c r="Y39" s="294"/>
      <c r="Z39" s="294"/>
      <c r="AA39" s="294"/>
      <c r="AB39" s="294"/>
      <c r="AC39" s="395" t="s">
        <v>427</v>
      </c>
      <c r="AD39" s="294" t="s">
        <v>426</v>
      </c>
      <c r="AE39" s="294"/>
      <c r="AF39" s="294"/>
      <c r="AG39" s="294"/>
      <c r="AH39" s="294"/>
      <c r="AI39" s="294"/>
      <c r="AJ39" s="294"/>
      <c r="AK39" s="395" t="s">
        <v>428</v>
      </c>
      <c r="AL39" s="482" t="s">
        <v>429</v>
      </c>
      <c r="AM39" s="138"/>
      <c r="AS39" s="42" t="n">
        <v>14</v>
      </c>
    </row>
    <row r="40" customFormat="false" ht="35.25" hidden="false" customHeight="true" outlineLevel="0" collapsed="false">
      <c r="Q40" s="470"/>
      <c r="R40" s="470"/>
      <c r="S40" s="480"/>
      <c r="T40" s="395"/>
      <c r="U40" s="483"/>
      <c r="V40" s="484" t="s">
        <v>430</v>
      </c>
      <c r="W40" s="434"/>
      <c r="X40" s="138" t="s">
        <v>432</v>
      </c>
      <c r="Y40" s="138"/>
      <c r="Z40" s="138" t="s">
        <v>433</v>
      </c>
      <c r="AA40" s="138"/>
      <c r="AB40" s="138"/>
      <c r="AC40" s="395"/>
      <c r="AD40" s="484" t="s">
        <v>447</v>
      </c>
      <c r="AE40" s="434"/>
      <c r="AF40" s="138" t="s">
        <v>432</v>
      </c>
      <c r="AG40" s="138"/>
      <c r="AH40" s="138" t="s">
        <v>433</v>
      </c>
      <c r="AI40" s="138"/>
      <c r="AJ40" s="138"/>
      <c r="AK40" s="395"/>
      <c r="AL40" s="482"/>
      <c r="AM40" s="138"/>
      <c r="AS40" s="42" t="n">
        <v>34</v>
      </c>
    </row>
    <row r="41" customFormat="false" ht="35.25" hidden="false" customHeight="true" outlineLevel="0" collapsed="false">
      <c r="A41" s="144"/>
      <c r="B41" s="144" t="s">
        <v>134</v>
      </c>
      <c r="C41" s="144" t="s">
        <v>135</v>
      </c>
      <c r="D41" s="144" t="s">
        <v>136</v>
      </c>
      <c r="E41" s="419" t="s">
        <v>434</v>
      </c>
      <c r="F41" s="419" t="s">
        <v>435</v>
      </c>
      <c r="G41" s="419" t="s">
        <v>436</v>
      </c>
      <c r="H41" s="419" t="s">
        <v>437</v>
      </c>
      <c r="I41" s="419" t="s">
        <v>438</v>
      </c>
      <c r="J41" s="419" t="s">
        <v>439</v>
      </c>
      <c r="K41" s="419" t="s">
        <v>440</v>
      </c>
      <c r="L41" s="419" t="s">
        <v>415</v>
      </c>
      <c r="Q41" s="470"/>
      <c r="R41" s="470"/>
      <c r="S41" s="480"/>
      <c r="T41" s="395"/>
      <c r="U41" s="485"/>
      <c r="V41" s="484"/>
      <c r="W41" s="434"/>
      <c r="X41" s="220" t="s">
        <v>441</v>
      </c>
      <c r="Y41" s="220" t="s">
        <v>442</v>
      </c>
      <c r="Z41" s="220" t="s">
        <v>443</v>
      </c>
      <c r="AA41" s="220" t="s">
        <v>444</v>
      </c>
      <c r="AB41" s="220"/>
      <c r="AC41" s="395"/>
      <c r="AD41" s="484"/>
      <c r="AE41" s="434"/>
      <c r="AF41" s="220" t="s">
        <v>441</v>
      </c>
      <c r="AG41" s="220" t="s">
        <v>442</v>
      </c>
      <c r="AH41" s="220" t="s">
        <v>443</v>
      </c>
      <c r="AI41" s="220" t="s">
        <v>444</v>
      </c>
      <c r="AJ41" s="220"/>
      <c r="AK41" s="395"/>
      <c r="AL41" s="482"/>
      <c r="AM41" s="138"/>
      <c r="AS41" s="42" t="n">
        <v>34</v>
      </c>
    </row>
    <row r="42" s="124" customFormat="true" ht="11.25" hidden="true" customHeight="true" outlineLevel="0" collapsed="false">
      <c r="A42" s="144"/>
      <c r="B42" s="144"/>
      <c r="C42" s="144"/>
      <c r="D42" s="144"/>
      <c r="E42" s="144"/>
      <c r="F42" s="144"/>
      <c r="G42" s="144"/>
      <c r="H42" s="144"/>
      <c r="I42" s="144"/>
      <c r="J42" s="144"/>
      <c r="K42" s="144"/>
      <c r="L42" s="419"/>
      <c r="M42" s="53"/>
      <c r="N42" s="53"/>
      <c r="O42" s="53"/>
      <c r="P42" s="486"/>
      <c r="Q42" s="487"/>
      <c r="R42" s="488" t="n">
        <v>1</v>
      </c>
      <c r="S42" s="489" t="s">
        <v>107</v>
      </c>
      <c r="T42" s="490" t="s">
        <v>108</v>
      </c>
      <c r="U42" s="491" t="str">
        <f aca="true">OFFSET(U42,0,-1)</f>
        <v>2</v>
      </c>
      <c r="V42" s="492" t="n">
        <f aca="true">OFFSET(V42,0,-1)+1</f>
        <v>3</v>
      </c>
      <c r="W42" s="492"/>
      <c r="X42" s="492" t="n">
        <f aca="true">OFFSET(X42,0,-1)+1</f>
        <v>1</v>
      </c>
      <c r="Y42" s="492" t="n">
        <f aca="true">OFFSET(Y42,0,-1)+1</f>
        <v>2</v>
      </c>
      <c r="Z42" s="492" t="n">
        <f aca="true">OFFSET(Z42,0,-1)+1</f>
        <v>3</v>
      </c>
      <c r="AA42" s="492" t="n">
        <f aca="true">OFFSET(AA42,0,-1)+1</f>
        <v>4</v>
      </c>
      <c r="AB42" s="492"/>
      <c r="AC42" s="492" t="n">
        <f aca="true">OFFSET(AC42,0,-2)+1</f>
        <v>5</v>
      </c>
      <c r="AD42" s="492" t="n">
        <f aca="true">OFFSET(AD42,0,-1)+1</f>
        <v>6</v>
      </c>
      <c r="AE42" s="492"/>
      <c r="AF42" s="492" t="n">
        <f aca="true">OFFSET(AF42,0,-1)+1</f>
        <v>1</v>
      </c>
      <c r="AG42" s="492" t="n">
        <f aca="true">OFFSET(AG42,0,-1)+1</f>
        <v>2</v>
      </c>
      <c r="AH42" s="492" t="n">
        <f aca="true">OFFSET(AH42,0,-1)+1</f>
        <v>3</v>
      </c>
      <c r="AI42" s="492" t="n">
        <f aca="true">OFFSET(AI42,0,-1)+1</f>
        <v>4</v>
      </c>
      <c r="AJ42" s="492"/>
      <c r="AK42" s="492" t="n">
        <f aca="true">OFFSET(AK42,0,-2)+1</f>
        <v>5</v>
      </c>
      <c r="AL42" s="491" t="n">
        <f aca="true">OFFSET(AL42,0,-1)</f>
        <v>5</v>
      </c>
      <c r="AM42" s="492" t="n">
        <f aca="true">OFFSET(AM42,0,-1)+1</f>
        <v>6</v>
      </c>
      <c r="AN42" s="49"/>
      <c r="AO42" s="49"/>
      <c r="AP42" s="49"/>
      <c r="AQ42" s="49"/>
      <c r="AR42" s="49"/>
      <c r="AS42" s="124" t="n">
        <v>0</v>
      </c>
    </row>
    <row r="43" customFormat="false" ht="21.75" hidden="false" customHeight="true" outlineLevel="0" collapsed="false">
      <c r="A43" s="417" t="s">
        <v>185</v>
      </c>
      <c r="B43" s="417"/>
      <c r="C43" s="417"/>
      <c r="D43" s="417"/>
      <c r="E43" s="418" t="n">
        <v>1</v>
      </c>
      <c r="F43" s="417"/>
      <c r="G43" s="417"/>
      <c r="H43" s="417"/>
      <c r="I43" s="417"/>
      <c r="J43" s="417"/>
      <c r="K43" s="417"/>
      <c r="L43" s="419"/>
      <c r="M43" s="420"/>
      <c r="N43" s="420"/>
      <c r="O43" s="420"/>
      <c r="Q43" s="136"/>
      <c r="R43" s="421"/>
      <c r="S43" s="422" t="n">
        <f aca="false">INDEX(PT_DIFFERENTIATION_NUM_NTAR,MATCH(A43,PT_DIFFERENTIATION_NTAR_ID,0))</f>
        <v>0</v>
      </c>
      <c r="T43" s="423" t="s">
        <v>122</v>
      </c>
      <c r="U43" s="424"/>
      <c r="V43" s="425"/>
      <c r="W43" s="425"/>
      <c r="X43" s="425"/>
      <c r="Y43" s="425"/>
      <c r="Z43" s="425"/>
      <c r="AA43" s="425"/>
      <c r="AB43" s="425"/>
      <c r="AC43" s="425"/>
      <c r="AD43" s="426" t="str">
        <f aca="false">INDEX(PT_DIFFERENTIATION_NTAR,MATCH(A43,PT_DIFFERENTIATION_NTAR_ID,0))</f>
        <v/>
      </c>
      <c r="AE43" s="426"/>
      <c r="AF43" s="426"/>
      <c r="AG43" s="426"/>
      <c r="AH43" s="426"/>
      <c r="AI43" s="426"/>
      <c r="AJ43" s="426"/>
      <c r="AK43" s="426"/>
      <c r="AL43" s="426"/>
      <c r="AM43" s="427"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2"/>
      <c r="AP43" s="122" t="str">
        <f aca="false">IF(T43="","",T43)</f>
        <v>Наименование тарифа</v>
      </c>
      <c r="AQ43" s="122"/>
      <c r="AR43" s="122"/>
      <c r="AS43" s="42" t="n">
        <v>21</v>
      </c>
    </row>
    <row r="44" customFormat="false" ht="21.75" hidden="false" customHeight="true" outlineLevel="0" collapsed="false">
      <c r="A44" s="417" t="s">
        <v>185</v>
      </c>
      <c r="B44" s="417" t="s">
        <v>186</v>
      </c>
      <c r="C44" s="417"/>
      <c r="D44" s="417"/>
      <c r="E44" s="418"/>
      <c r="F44" s="418" t="n">
        <v>1</v>
      </c>
      <c r="G44" s="417"/>
      <c r="H44" s="417"/>
      <c r="I44" s="417"/>
      <c r="J44" s="417"/>
      <c r="K44" s="417"/>
      <c r="L44" s="419"/>
      <c r="M44" s="420"/>
      <c r="N44" s="420"/>
      <c r="O44" s="420"/>
      <c r="P44" s="43"/>
      <c r="Q44" s="428"/>
      <c r="R44" s="429"/>
      <c r="S44" s="422" t="str">
        <f aca="false">INDEX(PT_DIFFERENTIATION_NUM_TER,MATCH(B44,PT_DIFFERENTIATION_TER_ID,0))</f>
        <v>.</v>
      </c>
      <c r="T44" s="430" t="s">
        <v>394</v>
      </c>
      <c r="U44" s="424"/>
      <c r="V44" s="425"/>
      <c r="W44" s="425"/>
      <c r="X44" s="425"/>
      <c r="Y44" s="425"/>
      <c r="Z44" s="425"/>
      <c r="AA44" s="425"/>
      <c r="AB44" s="425"/>
      <c r="AC44" s="425"/>
      <c r="AD44" s="426" t="str">
        <f aca="false">INDEX(PT_DIFFERENTIATION_TER,MATCH(B44,PT_DIFFERENTIATION_TER_ID,0))</f>
        <v/>
      </c>
      <c r="AE44" s="426"/>
      <c r="AF44" s="426"/>
      <c r="AG44" s="426"/>
      <c r="AH44" s="426"/>
      <c r="AI44" s="426"/>
      <c r="AJ44" s="426"/>
      <c r="AK44" s="426"/>
      <c r="AL44" s="426"/>
      <c r="AM44" s="427" t="s">
        <v>395</v>
      </c>
      <c r="AO44" s="122"/>
      <c r="AP44" s="122" t="str">
        <f aca="false">IF(T44="","",T44)</f>
        <v>Территория действия тарифа</v>
      </c>
      <c r="AQ44" s="122"/>
      <c r="AR44" s="122"/>
      <c r="AS44" s="42" t="n">
        <v>21</v>
      </c>
    </row>
    <row r="45" customFormat="false" ht="24" hidden="false" customHeight="true" outlineLevel="0" collapsed="false">
      <c r="A45" s="417" t="s">
        <v>185</v>
      </c>
      <c r="B45" s="417" t="s">
        <v>186</v>
      </c>
      <c r="C45" s="417" t="s">
        <v>187</v>
      </c>
      <c r="D45" s="417"/>
      <c r="E45" s="418"/>
      <c r="F45" s="418"/>
      <c r="G45" s="418" t="n">
        <v>1</v>
      </c>
      <c r="H45" s="417"/>
      <c r="I45" s="417"/>
      <c r="J45" s="417"/>
      <c r="K45" s="417"/>
      <c r="L45" s="419"/>
      <c r="M45" s="420"/>
      <c r="N45" s="420"/>
      <c r="O45" s="420"/>
      <c r="P45" s="431"/>
      <c r="Q45" s="428"/>
      <c r="R45" s="429"/>
      <c r="S45" s="422" t="str">
        <f aca="false">INDEX(PT_DIFFERENTIATION_NUM_CS,MATCH(C45,PT_DIFFERENTIATION_CS_ID,0))</f>
        <v>..</v>
      </c>
      <c r="T45" s="432" t="s">
        <v>396</v>
      </c>
      <c r="U45" s="424"/>
      <c r="V45" s="425"/>
      <c r="W45" s="425"/>
      <c r="X45" s="425"/>
      <c r="Y45" s="425"/>
      <c r="Z45" s="425"/>
      <c r="AA45" s="425"/>
      <c r="AB45" s="425"/>
      <c r="AC45" s="425"/>
      <c r="AD45" s="426" t="str">
        <f aca="false">INDEX(PT_DIFFERENTIATION_CS,MATCH(C45,PT_DIFFERENTIATION_CS_ID,0))</f>
        <v/>
      </c>
      <c r="AE45" s="426"/>
      <c r="AF45" s="426"/>
      <c r="AG45" s="426"/>
      <c r="AH45" s="426"/>
      <c r="AI45" s="426"/>
      <c r="AJ45" s="426"/>
      <c r="AK45" s="426"/>
      <c r="AL45" s="426"/>
      <c r="AM45" s="427" t="s">
        <v>397</v>
      </c>
      <c r="AO45" s="122"/>
      <c r="AP45" s="122" t="str">
        <f aca="false">IF(T45="","",T45)</f>
        <v>Наименование системы теплоснабжения </v>
      </c>
      <c r="AQ45" s="122"/>
      <c r="AR45" s="122"/>
      <c r="AS45" s="42" t="n">
        <v>23</v>
      </c>
    </row>
    <row r="46" customFormat="false" ht="21.75" hidden="false" customHeight="true" outlineLevel="0" collapsed="false">
      <c r="A46" s="417" t="s">
        <v>185</v>
      </c>
      <c r="B46" s="417" t="s">
        <v>186</v>
      </c>
      <c r="C46" s="417" t="s">
        <v>187</v>
      </c>
      <c r="D46" s="417" t="s">
        <v>188</v>
      </c>
      <c r="E46" s="418"/>
      <c r="F46" s="418"/>
      <c r="G46" s="418"/>
      <c r="H46" s="418" t="n">
        <v>1</v>
      </c>
      <c r="I46" s="417"/>
      <c r="J46" s="417"/>
      <c r="K46" s="417"/>
      <c r="L46" s="419"/>
      <c r="M46" s="420"/>
      <c r="N46" s="420"/>
      <c r="O46" s="420"/>
      <c r="P46" s="431"/>
      <c r="Q46" s="428"/>
      <c r="R46" s="429"/>
      <c r="S46" s="422" t="str">
        <f aca="false">INDEX(PT_DIFFERENTIATION_NUM_IST_TE,MATCH(D46,PT_DIFFERENTIATION_IST_TE_ID,0))</f>
        <v>...</v>
      </c>
      <c r="T46" s="433" t="s">
        <v>398</v>
      </c>
      <c r="U46" s="424"/>
      <c r="V46" s="425"/>
      <c r="W46" s="425"/>
      <c r="X46" s="425"/>
      <c r="Y46" s="425"/>
      <c r="Z46" s="425"/>
      <c r="AA46" s="425"/>
      <c r="AB46" s="425"/>
      <c r="AC46" s="425"/>
      <c r="AD46" s="426" t="str">
        <f aca="false">INDEX(PT_DIFFERENTIATION_IST_TE,MATCH(D46,PT_DIFFERENTIATION_IST_TE_ID,0))</f>
        <v/>
      </c>
      <c r="AE46" s="426"/>
      <c r="AF46" s="426"/>
      <c r="AG46" s="426"/>
      <c r="AH46" s="426"/>
      <c r="AI46" s="426"/>
      <c r="AJ46" s="426"/>
      <c r="AK46" s="426"/>
      <c r="AL46" s="426"/>
      <c r="AM46" s="427" t="s">
        <v>399</v>
      </c>
      <c r="AO46" s="122"/>
      <c r="AP46" s="122" t="str">
        <f aca="false">IF(T46="","",T46)</f>
        <v>Источник тепловой энергии  </v>
      </c>
      <c r="AQ46" s="122"/>
      <c r="AR46" s="122"/>
      <c r="AS46" s="42" t="n">
        <v>21</v>
      </c>
    </row>
    <row r="47" s="49" customFormat="true" ht="14.35" hidden="false" customHeight="false" outlineLevel="0" collapsed="false">
      <c r="A47" s="126" t="s">
        <v>185</v>
      </c>
      <c r="B47" s="126" t="s">
        <v>186</v>
      </c>
      <c r="C47" s="126" t="s">
        <v>187</v>
      </c>
      <c r="D47" s="126" t="s">
        <v>188</v>
      </c>
      <c r="E47" s="418"/>
      <c r="F47" s="418"/>
      <c r="G47" s="418"/>
      <c r="H47" s="418"/>
      <c r="I47" s="434" t="str">
        <f aca="false">S46&amp;".1"</f>
        <v>....1</v>
      </c>
      <c r="J47" s="126"/>
      <c r="K47" s="126"/>
      <c r="L47" s="194" t="s">
        <v>400</v>
      </c>
      <c r="M47" s="515"/>
      <c r="N47" s="515"/>
      <c r="O47" s="515"/>
      <c r="P47" s="125" t="n">
        <v>1</v>
      </c>
      <c r="Q47" s="125"/>
      <c r="R47" s="435"/>
      <c r="S47" s="299"/>
      <c r="T47" s="507"/>
      <c r="U47" s="508"/>
      <c r="V47" s="509"/>
      <c r="W47" s="509"/>
      <c r="X47" s="509"/>
      <c r="Y47" s="509"/>
      <c r="Z47" s="509"/>
      <c r="AA47" s="509"/>
      <c r="AB47" s="509"/>
      <c r="AC47" s="509"/>
      <c r="AD47" s="509"/>
      <c r="AE47" s="509"/>
      <c r="AF47" s="509"/>
      <c r="AG47" s="509"/>
      <c r="AH47" s="509"/>
      <c r="AI47" s="509"/>
      <c r="AJ47" s="509"/>
      <c r="AK47" s="509"/>
      <c r="AL47" s="509"/>
      <c r="AM47" s="510"/>
      <c r="AO47" s="122"/>
      <c r="AP47" s="122" t="str">
        <f aca="false">IF(T47="","",T47)</f>
        <v/>
      </c>
      <c r="AQ47" s="122"/>
      <c r="AR47" s="122"/>
      <c r="AS47" s="49" t="n">
        <v>0</v>
      </c>
    </row>
    <row r="48" customFormat="false" ht="21.75" hidden="false" customHeight="true" outlineLevel="0" collapsed="false">
      <c r="A48" s="417" t="s">
        <v>185</v>
      </c>
      <c r="B48" s="417" t="s">
        <v>186</v>
      </c>
      <c r="C48" s="417" t="s">
        <v>187</v>
      </c>
      <c r="D48" s="417" t="s">
        <v>188</v>
      </c>
      <c r="E48" s="418"/>
      <c r="F48" s="418"/>
      <c r="G48" s="418"/>
      <c r="H48" s="418"/>
      <c r="I48" s="434"/>
      <c r="J48" s="434" t="str">
        <f aca="false">S46&amp;".1"</f>
        <v>....1</v>
      </c>
      <c r="K48" s="417"/>
      <c r="L48" s="419" t="s">
        <v>403</v>
      </c>
      <c r="P48" s="125"/>
      <c r="Q48" s="125" t="n">
        <v>1</v>
      </c>
      <c r="R48" s="438"/>
      <c r="S48" s="422" t="str">
        <f aca="false">$J48</f>
        <v>....1</v>
      </c>
      <c r="T48" s="439" t="s">
        <v>404</v>
      </c>
      <c r="U48" s="424"/>
      <c r="V48" s="437"/>
      <c r="W48" s="437"/>
      <c r="X48" s="437"/>
      <c r="Y48" s="437"/>
      <c r="Z48" s="437"/>
      <c r="AA48" s="437"/>
      <c r="AB48" s="437"/>
      <c r="AC48" s="437"/>
      <c r="AD48" s="437"/>
      <c r="AE48" s="437"/>
      <c r="AF48" s="437"/>
      <c r="AG48" s="437"/>
      <c r="AH48" s="437"/>
      <c r="AI48" s="437"/>
      <c r="AJ48" s="437"/>
      <c r="AK48" s="437"/>
      <c r="AL48" s="437"/>
      <c r="AM48" s="427" t="s">
        <v>405</v>
      </c>
      <c r="AO48" s="122"/>
      <c r="AP48" s="122" t="str">
        <f aca="false">IF(T48="","",T48)</f>
        <v>Группа потребителей</v>
      </c>
      <c r="AQ48" s="122"/>
      <c r="AR48" s="122"/>
      <c r="AS48" s="42" t="n">
        <v>21</v>
      </c>
    </row>
    <row r="49" customFormat="false" ht="21.75" hidden="false" customHeight="true" outlineLevel="0" collapsed="false">
      <c r="A49" s="417" t="s">
        <v>185</v>
      </c>
      <c r="B49" s="417" t="s">
        <v>186</v>
      </c>
      <c r="C49" s="417" t="s">
        <v>187</v>
      </c>
      <c r="D49" s="417" t="s">
        <v>188</v>
      </c>
      <c r="E49" s="418"/>
      <c r="F49" s="418"/>
      <c r="G49" s="418"/>
      <c r="H49" s="418"/>
      <c r="I49" s="434"/>
      <c r="J49" s="434"/>
      <c r="K49" s="434" t="str">
        <f aca="false">J48&amp;".1"</f>
        <v>....1.1</v>
      </c>
      <c r="L49" s="419" t="s">
        <v>406</v>
      </c>
      <c r="P49" s="125"/>
      <c r="Q49" s="125"/>
      <c r="R49" s="438" t="n">
        <v>1</v>
      </c>
      <c r="S49" s="422" t="str">
        <f aca="false">$K49</f>
        <v>....1.1</v>
      </c>
      <c r="T49" s="440"/>
      <c r="U49" s="424"/>
      <c r="V49" s="441"/>
      <c r="W49" s="442"/>
      <c r="X49" s="441"/>
      <c r="Y49" s="443"/>
      <c r="Z49" s="444"/>
      <c r="AA49" s="206" t="s">
        <v>64</v>
      </c>
      <c r="AB49" s="444"/>
      <c r="AC49" s="206" t="s">
        <v>64</v>
      </c>
      <c r="AD49" s="441"/>
      <c r="AE49" s="442"/>
      <c r="AF49" s="441"/>
      <c r="AG49" s="443"/>
      <c r="AH49" s="444"/>
      <c r="AI49" s="206" t="s">
        <v>64</v>
      </c>
      <c r="AJ49" s="444"/>
      <c r="AK49" s="206" t="s">
        <v>64</v>
      </c>
      <c r="AL49" s="493"/>
      <c r="AM49" s="445" t="s">
        <v>448</v>
      </c>
      <c r="AN49" s="49" t="e">
        <f aca="false">strcheckdate(V50:AL50)</f>
        <v>#NAME?</v>
      </c>
      <c r="AO49" s="122"/>
      <c r="AP49" s="122" t="str">
        <f aca="false">IF(T49="","",T49)</f>
        <v/>
      </c>
      <c r="AQ49" s="122"/>
      <c r="AR49" s="122"/>
      <c r="AS49" s="42" t="n">
        <v>21</v>
      </c>
    </row>
    <row r="50" customFormat="false" ht="14.35" hidden="false" customHeight="false" outlineLevel="0" collapsed="false">
      <c r="A50" s="417" t="s">
        <v>185</v>
      </c>
      <c r="B50" s="417" t="s">
        <v>186</v>
      </c>
      <c r="C50" s="417" t="s">
        <v>187</v>
      </c>
      <c r="D50" s="417" t="s">
        <v>188</v>
      </c>
      <c r="E50" s="418"/>
      <c r="F50" s="418"/>
      <c r="G50" s="418"/>
      <c r="H50" s="418"/>
      <c r="I50" s="434"/>
      <c r="J50" s="434"/>
      <c r="K50" s="434"/>
      <c r="L50" s="419"/>
      <c r="P50" s="125"/>
      <c r="Q50" s="125"/>
      <c r="R50" s="438"/>
      <c r="S50" s="397"/>
      <c r="T50" s="424"/>
      <c r="U50" s="424"/>
      <c r="V50" s="442"/>
      <c r="W50" s="442"/>
      <c r="X50" s="442"/>
      <c r="Y50" s="446" t="str">
        <f aca="false">Z49&amp;"-"&amp;AB49</f>
        <v>-</v>
      </c>
      <c r="Z50" s="444"/>
      <c r="AA50" s="206"/>
      <c r="AB50" s="444"/>
      <c r="AC50" s="206"/>
      <c r="AD50" s="442"/>
      <c r="AE50" s="442"/>
      <c r="AF50" s="442"/>
      <c r="AG50" s="446" t="str">
        <f aca="false">AH49&amp;"-"&amp;AJ49</f>
        <v>-</v>
      </c>
      <c r="AH50" s="444"/>
      <c r="AI50" s="206"/>
      <c r="AJ50" s="444"/>
      <c r="AK50" s="206"/>
      <c r="AL50" s="494"/>
      <c r="AM50" s="445"/>
      <c r="AO50" s="122"/>
      <c r="AP50" s="122" t="str">
        <f aca="false">IF(T50="","",T50)</f>
        <v/>
      </c>
      <c r="AQ50" s="122"/>
      <c r="AR50" s="122"/>
      <c r="AS50" s="42" t="n">
        <v>0</v>
      </c>
    </row>
    <row r="51" customFormat="false" ht="11.25" hidden="false" customHeight="true" outlineLevel="0" collapsed="false">
      <c r="A51" s="417" t="s">
        <v>185</v>
      </c>
      <c r="B51" s="417" t="s">
        <v>186</v>
      </c>
      <c r="C51" s="417" t="s">
        <v>187</v>
      </c>
      <c r="D51" s="417" t="s">
        <v>188</v>
      </c>
      <c r="E51" s="418"/>
      <c r="F51" s="418"/>
      <c r="G51" s="418"/>
      <c r="H51" s="418"/>
      <c r="I51" s="434"/>
      <c r="J51" s="434"/>
      <c r="K51" s="417"/>
      <c r="L51" s="419"/>
      <c r="P51" s="125"/>
      <c r="Q51" s="125"/>
      <c r="R51" s="435"/>
      <c r="S51" s="447"/>
      <c r="T51" s="450" t="s">
        <v>408</v>
      </c>
      <c r="U51" s="196"/>
      <c r="V51" s="196"/>
      <c r="W51" s="196"/>
      <c r="X51" s="196"/>
      <c r="Y51" s="196"/>
      <c r="Z51" s="196"/>
      <c r="AA51" s="196"/>
      <c r="AB51" s="196"/>
      <c r="AC51" s="196"/>
      <c r="AD51" s="196"/>
      <c r="AE51" s="196"/>
      <c r="AF51" s="196"/>
      <c r="AG51" s="196"/>
      <c r="AH51" s="196"/>
      <c r="AI51" s="196"/>
      <c r="AJ51" s="196"/>
      <c r="AK51" s="196"/>
      <c r="AL51" s="449"/>
      <c r="AM51" s="445"/>
      <c r="AO51" s="122"/>
      <c r="AP51" s="122" t="str">
        <f aca="false">IF(T51="","",T51)</f>
        <v>Добавить вид теплоносителя (параметры теплоносителя)</v>
      </c>
      <c r="AQ51" s="122"/>
      <c r="AR51" s="122"/>
      <c r="AS51" s="42" t="n">
        <v>11</v>
      </c>
    </row>
    <row r="52" customFormat="false" ht="11.25" hidden="false" customHeight="true" outlineLevel="0" collapsed="false">
      <c r="A52" s="417" t="s">
        <v>185</v>
      </c>
      <c r="B52" s="417" t="s">
        <v>186</v>
      </c>
      <c r="C52" s="417" t="s">
        <v>187</v>
      </c>
      <c r="D52" s="417" t="s">
        <v>188</v>
      </c>
      <c r="E52" s="418"/>
      <c r="F52" s="418"/>
      <c r="G52" s="418"/>
      <c r="H52" s="418"/>
      <c r="I52" s="434"/>
      <c r="J52" s="417"/>
      <c r="K52" s="417"/>
      <c r="L52" s="419"/>
      <c r="P52" s="125"/>
      <c r="Q52" s="125"/>
      <c r="R52" s="435"/>
      <c r="S52" s="447"/>
      <c r="T52" s="454" t="s">
        <v>409</v>
      </c>
      <c r="U52" s="196"/>
      <c r="V52" s="196"/>
      <c r="W52" s="196"/>
      <c r="X52" s="196"/>
      <c r="Y52" s="196"/>
      <c r="Z52" s="196"/>
      <c r="AA52" s="196"/>
      <c r="AB52" s="196"/>
      <c r="AC52" s="451"/>
      <c r="AD52" s="196"/>
      <c r="AE52" s="196"/>
      <c r="AF52" s="196"/>
      <c r="AG52" s="196"/>
      <c r="AH52" s="196"/>
      <c r="AI52" s="196"/>
      <c r="AJ52" s="196"/>
      <c r="AK52" s="451"/>
      <c r="AL52" s="196"/>
      <c r="AM52" s="452"/>
      <c r="AO52" s="122"/>
      <c r="AP52" s="122" t="str">
        <f aca="false">IF(T52="","",T52)</f>
        <v>Добавить группу потребителей</v>
      </c>
      <c r="AQ52" s="122"/>
      <c r="AR52" s="122"/>
      <c r="AS52" s="42" t="n">
        <v>11</v>
      </c>
    </row>
    <row r="53" customFormat="false" ht="14.35" hidden="false" customHeight="false" outlineLevel="0" collapsed="false">
      <c r="A53" s="417" t="s">
        <v>185</v>
      </c>
      <c r="B53" s="417" t="s">
        <v>186</v>
      </c>
      <c r="C53" s="417" t="s">
        <v>187</v>
      </c>
      <c r="D53" s="417" t="s">
        <v>188</v>
      </c>
      <c r="E53" s="418"/>
      <c r="F53" s="418"/>
      <c r="G53" s="418"/>
      <c r="H53" s="418"/>
      <c r="I53" s="417"/>
      <c r="J53" s="417"/>
      <c r="K53" s="417"/>
      <c r="L53" s="419"/>
      <c r="M53" s="420"/>
      <c r="N53" s="420"/>
      <c r="O53" s="45"/>
      <c r="P53" s="136"/>
      <c r="Q53" s="453"/>
      <c r="R53" s="421"/>
      <c r="S53" s="511"/>
      <c r="T53" s="512"/>
      <c r="U53" s="513"/>
      <c r="V53" s="513"/>
      <c r="W53" s="513"/>
      <c r="X53" s="513"/>
      <c r="Y53" s="513"/>
      <c r="Z53" s="513"/>
      <c r="AA53" s="513"/>
      <c r="AB53" s="513"/>
      <c r="AC53" s="513"/>
      <c r="AD53" s="513"/>
      <c r="AE53" s="513"/>
      <c r="AF53" s="513"/>
      <c r="AG53" s="513"/>
      <c r="AH53" s="513"/>
      <c r="AI53" s="513"/>
      <c r="AJ53" s="513"/>
      <c r="AK53" s="513"/>
      <c r="AL53" s="513"/>
      <c r="AM53" s="514"/>
      <c r="AO53" s="122"/>
      <c r="AP53" s="122" t="str">
        <f aca="false">IF(T53="","",T53)</f>
        <v/>
      </c>
      <c r="AQ53" s="122"/>
      <c r="AR53" s="122"/>
      <c r="AS53" s="42" t="n">
        <v>0</v>
      </c>
    </row>
    <row r="54" s="49" customFormat="true" ht="14.35" hidden="false" customHeight="false" outlineLevel="0" collapsed="false">
      <c r="A54" s="126" t="s">
        <v>185</v>
      </c>
      <c r="B54" s="126" t="s">
        <v>186</v>
      </c>
      <c r="C54" s="126" t="s">
        <v>187</v>
      </c>
      <c r="D54" s="126"/>
      <c r="E54" s="418"/>
      <c r="F54" s="418"/>
      <c r="G54" s="418"/>
      <c r="H54" s="126"/>
      <c r="I54" s="126"/>
      <c r="J54" s="126"/>
      <c r="K54" s="126"/>
      <c r="L54" s="194"/>
      <c r="M54" s="402"/>
      <c r="N54" s="402"/>
      <c r="P54" s="160"/>
      <c r="Q54" s="455"/>
      <c r="R54" s="160"/>
      <c r="S54" s="460"/>
      <c r="T54" s="463" t="s">
        <v>411</v>
      </c>
      <c r="U54" s="462"/>
      <c r="V54" s="462"/>
      <c r="W54" s="462"/>
      <c r="X54" s="462"/>
      <c r="Y54" s="462"/>
      <c r="Z54" s="462"/>
      <c r="AA54" s="462"/>
      <c r="AB54" s="462"/>
      <c r="AC54" s="462"/>
      <c r="AD54" s="462"/>
      <c r="AE54" s="462"/>
      <c r="AF54" s="462"/>
      <c r="AG54" s="462"/>
      <c r="AH54" s="462"/>
      <c r="AI54" s="462"/>
      <c r="AJ54" s="462"/>
      <c r="AK54" s="462"/>
      <c r="AL54" s="462"/>
      <c r="AM54" s="462"/>
      <c r="AO54" s="122"/>
      <c r="AP54" s="122" t="str">
        <f aca="false">IF(T54="","",T54)</f>
        <v>Добавить источник для дифференциации</v>
      </c>
      <c r="AQ54" s="122"/>
      <c r="AR54" s="122"/>
      <c r="AS54" s="49" t="n">
        <v>0</v>
      </c>
    </row>
    <row r="55" s="49" customFormat="true" ht="14.35" hidden="false" customHeight="false" outlineLevel="0" collapsed="false">
      <c r="A55" s="126" t="s">
        <v>185</v>
      </c>
      <c r="B55" s="126" t="s">
        <v>186</v>
      </c>
      <c r="C55" s="126"/>
      <c r="D55" s="126"/>
      <c r="E55" s="418"/>
      <c r="F55" s="418"/>
      <c r="G55" s="126"/>
      <c r="H55" s="126"/>
      <c r="I55" s="126"/>
      <c r="J55" s="126"/>
      <c r="K55" s="126"/>
      <c r="L55" s="194"/>
      <c r="M55" s="459"/>
      <c r="N55" s="459"/>
      <c r="P55" s="160"/>
      <c r="Q55" s="455"/>
      <c r="R55" s="160"/>
      <c r="S55" s="460"/>
      <c r="T55" s="463" t="s">
        <v>412</v>
      </c>
      <c r="U55" s="462"/>
      <c r="V55" s="462"/>
      <c r="W55" s="462"/>
      <c r="X55" s="462"/>
      <c r="Y55" s="462"/>
      <c r="Z55" s="462"/>
      <c r="AA55" s="462"/>
      <c r="AB55" s="462"/>
      <c r="AC55" s="462"/>
      <c r="AD55" s="462"/>
      <c r="AE55" s="462"/>
      <c r="AF55" s="462"/>
      <c r="AG55" s="462"/>
      <c r="AH55" s="462"/>
      <c r="AI55" s="462"/>
      <c r="AJ55" s="462"/>
      <c r="AK55" s="462"/>
      <c r="AL55" s="462"/>
      <c r="AM55" s="462"/>
      <c r="AO55" s="122"/>
      <c r="AP55" s="122" t="str">
        <f aca="false">IF(T55="","",T55)</f>
        <v>Добавить централизованную систему для дифференциации</v>
      </c>
      <c r="AQ55" s="122"/>
      <c r="AR55" s="122"/>
      <c r="AS55" s="49" t="n">
        <v>0</v>
      </c>
    </row>
    <row r="56" s="49" customFormat="true" ht="14.35" hidden="false" customHeight="false" outlineLevel="0" collapsed="false">
      <c r="A56" s="126" t="s">
        <v>185</v>
      </c>
      <c r="B56" s="126"/>
      <c r="C56" s="126"/>
      <c r="D56" s="126"/>
      <c r="E56" s="418"/>
      <c r="F56" s="126"/>
      <c r="G56" s="126"/>
      <c r="H56" s="126"/>
      <c r="I56" s="126"/>
      <c r="J56" s="126"/>
      <c r="K56" s="126"/>
      <c r="L56" s="194"/>
      <c r="M56" s="459"/>
      <c r="N56" s="459"/>
      <c r="P56" s="160"/>
      <c r="Q56" s="455"/>
      <c r="R56" s="160"/>
      <c r="S56" s="460"/>
      <c r="T56" s="463" t="s">
        <v>413</v>
      </c>
      <c r="U56" s="462"/>
      <c r="V56" s="462"/>
      <c r="W56" s="462"/>
      <c r="X56" s="462"/>
      <c r="Y56" s="462"/>
      <c r="Z56" s="462"/>
      <c r="AA56" s="462"/>
      <c r="AB56" s="462"/>
      <c r="AC56" s="462"/>
      <c r="AD56" s="462"/>
      <c r="AE56" s="462"/>
      <c r="AF56" s="462"/>
      <c r="AG56" s="462"/>
      <c r="AH56" s="462"/>
      <c r="AI56" s="462"/>
      <c r="AJ56" s="462"/>
      <c r="AK56" s="462"/>
      <c r="AL56" s="462"/>
      <c r="AM56" s="462"/>
      <c r="AO56" s="122"/>
      <c r="AP56" s="122" t="str">
        <f aca="false">IF(T56="","",T56)</f>
        <v>Добавить территорию для дифференциации</v>
      </c>
      <c r="AQ56" s="122"/>
      <c r="AR56" s="122"/>
      <c r="AS56" s="49" t="n">
        <v>0</v>
      </c>
    </row>
    <row r="57" s="49" customFormat="true" ht="3.75" hidden="false" customHeight="true" outlineLevel="0" collapsed="false">
      <c r="A57" s="126"/>
      <c r="B57" s="126"/>
      <c r="C57" s="126"/>
      <c r="D57" s="126"/>
      <c r="E57" s="126"/>
      <c r="F57" s="126"/>
      <c r="G57" s="126"/>
      <c r="H57" s="126"/>
      <c r="I57" s="126"/>
      <c r="J57" s="126"/>
      <c r="K57" s="126"/>
      <c r="L57" s="194"/>
      <c r="M57" s="459"/>
      <c r="N57" s="459"/>
      <c r="P57" s="160"/>
      <c r="Q57" s="455"/>
      <c r="R57" s="160"/>
      <c r="S57" s="460"/>
      <c r="T57" s="463" t="s">
        <v>445</v>
      </c>
      <c r="U57" s="462"/>
      <c r="V57" s="462"/>
      <c r="W57" s="462"/>
      <c r="X57" s="462"/>
      <c r="Y57" s="462"/>
      <c r="Z57" s="462"/>
      <c r="AA57" s="462"/>
      <c r="AB57" s="462"/>
      <c r="AC57" s="462"/>
      <c r="AD57" s="462"/>
      <c r="AE57" s="462"/>
      <c r="AF57" s="462"/>
      <c r="AG57" s="462"/>
      <c r="AH57" s="462"/>
      <c r="AI57" s="462"/>
      <c r="AJ57" s="462"/>
      <c r="AK57" s="462"/>
      <c r="AL57" s="462"/>
      <c r="AM57" s="462"/>
      <c r="AO57" s="122"/>
      <c r="AP57" s="122" t="str">
        <f aca="false">IF(T57="","",T57)</f>
        <v>Добавить наименование тарифа</v>
      </c>
      <c r="AQ57" s="122"/>
      <c r="AR57" s="122"/>
      <c r="AS57" s="49" t="n">
        <v>4</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14.25" hidden="false" customHeight="true" outlineLevel="0" collapsed="false">
      <c r="O59" s="45"/>
      <c r="S59" s="414"/>
      <c r="T59" s="495"/>
      <c r="U59" s="495"/>
      <c r="V59" s="495"/>
      <c r="W59" s="495"/>
      <c r="X59" s="495"/>
      <c r="Y59" s="495"/>
      <c r="Z59" s="495"/>
      <c r="AA59" s="495"/>
      <c r="AB59" s="495"/>
      <c r="AC59" s="495"/>
      <c r="AD59" s="495"/>
      <c r="AE59" s="495"/>
      <c r="AF59" s="495"/>
      <c r="AG59" s="495"/>
      <c r="AH59" s="495"/>
      <c r="AI59" s="495"/>
      <c r="AJ59" s="495"/>
      <c r="AK59" s="495"/>
      <c r="AL59" s="495"/>
      <c r="AM59" s="495"/>
      <c r="AS59" s="42" t="n">
        <v>14</v>
      </c>
    </row>
    <row r="60" customFormat="false" ht="14.25" hidden="false" customHeight="true" outlineLevel="0" collapsed="false">
      <c r="O60" s="45"/>
      <c r="T60" s="495"/>
      <c r="U60" s="495"/>
      <c r="V60" s="495"/>
      <c r="W60" s="495"/>
      <c r="X60" s="495"/>
      <c r="Y60" s="495"/>
      <c r="Z60" s="495"/>
      <c r="AA60" s="495"/>
      <c r="AB60" s="495"/>
      <c r="AC60" s="495"/>
      <c r="AD60" s="495"/>
      <c r="AE60" s="495"/>
      <c r="AF60" s="495"/>
      <c r="AG60" s="495"/>
      <c r="AH60" s="495"/>
      <c r="AI60" s="495"/>
      <c r="AJ60" s="495"/>
      <c r="AK60" s="495"/>
      <c r="AL60" s="495"/>
      <c r="AM60" s="495"/>
      <c r="AS60" s="42" t="n">
        <v>14</v>
      </c>
    </row>
    <row r="61" customFormat="false" ht="14.25" hidden="false" customHeight="true" outlineLevel="0" collapsed="false">
      <c r="O61" s="45"/>
      <c r="T61" s="495"/>
      <c r="U61" s="495"/>
      <c r="V61" s="495"/>
      <c r="W61" s="495"/>
      <c r="X61" s="495"/>
      <c r="Y61" s="495"/>
      <c r="Z61" s="495"/>
      <c r="AA61" s="495"/>
      <c r="AB61" s="495"/>
      <c r="AC61" s="495"/>
      <c r="AD61" s="495"/>
      <c r="AE61" s="495"/>
      <c r="AF61" s="495"/>
      <c r="AG61" s="495"/>
      <c r="AH61" s="495"/>
      <c r="AI61" s="495"/>
      <c r="AJ61" s="495"/>
      <c r="AK61" s="495"/>
      <c r="AL61" s="495"/>
      <c r="AM61" s="495"/>
      <c r="AS61" s="42" t="n">
        <v>14</v>
      </c>
    </row>
    <row r="62" customFormat="false" ht="14.25" hidden="false" customHeight="true" outlineLevel="0" collapsed="false">
      <c r="O62" s="45"/>
      <c r="AS62" s="42" t="n">
        <v>14</v>
      </c>
    </row>
    <row r="63" customFormat="false" ht="14.25" hidden="false" customHeight="true" outlineLevel="0" collapsed="false">
      <c r="O63" s="45"/>
      <c r="S63" s="414"/>
      <c r="T63" s="247"/>
      <c r="U63" s="247"/>
      <c r="V63" s="247"/>
      <c r="W63" s="247"/>
      <c r="X63" s="247"/>
      <c r="Y63" s="247"/>
      <c r="Z63" s="247"/>
      <c r="AA63" s="247"/>
      <c r="AB63" s="247"/>
      <c r="AC63" s="247"/>
      <c r="AD63" s="247"/>
      <c r="AE63" s="247"/>
      <c r="AF63" s="247"/>
      <c r="AG63" s="247"/>
      <c r="AH63" s="247"/>
      <c r="AI63" s="247"/>
      <c r="AJ63" s="247"/>
      <c r="AK63" s="247"/>
      <c r="AL63" s="247"/>
      <c r="AM63" s="247"/>
      <c r="AS63" s="42" t="n">
        <v>14</v>
      </c>
    </row>
    <row r="64" customFormat="false" ht="14.25" hidden="false" customHeight="true" outlineLevel="0" collapsed="false">
      <c r="O64" s="45"/>
      <c r="T64" s="495"/>
      <c r="U64" s="495"/>
      <c r="V64" s="495"/>
      <c r="W64" s="495"/>
      <c r="X64" s="495"/>
      <c r="Y64" s="495"/>
      <c r="Z64" s="495"/>
      <c r="AA64" s="495"/>
      <c r="AB64" s="495"/>
      <c r="AC64" s="495"/>
      <c r="AD64" s="495"/>
      <c r="AE64" s="495"/>
      <c r="AF64" s="495"/>
      <c r="AG64" s="495"/>
      <c r="AH64" s="495"/>
      <c r="AI64" s="495"/>
      <c r="AJ64" s="495"/>
      <c r="AK64" s="495"/>
      <c r="AL64" s="495"/>
      <c r="AM64" s="495"/>
      <c r="AS64" s="42" t="n">
        <v>14</v>
      </c>
    </row>
    <row r="65" customFormat="false" ht="14.25" hidden="false" customHeight="true" outlineLevel="0" collapsed="false">
      <c r="T65" s="495"/>
      <c r="U65" s="495"/>
      <c r="V65" s="495"/>
      <c r="W65" s="495"/>
      <c r="X65" s="495"/>
      <c r="Y65" s="495"/>
      <c r="Z65" s="495"/>
      <c r="AA65" s="495"/>
      <c r="AB65" s="495"/>
      <c r="AC65" s="495"/>
      <c r="AD65" s="495"/>
      <c r="AE65" s="495"/>
      <c r="AF65" s="495"/>
      <c r="AG65" s="495"/>
      <c r="AH65" s="495"/>
      <c r="AI65" s="495"/>
      <c r="AJ65" s="495"/>
      <c r="AK65" s="495"/>
      <c r="AL65" s="495"/>
      <c r="AM65" s="495"/>
      <c r="AS65" s="42" t="n">
        <v>14</v>
      </c>
    </row>
    <row r="66" customFormat="false" ht="22.5" hidden="true" customHeight="true" outlineLevel="0" collapsed="false">
      <c r="A66" s="45" t="s">
        <v>80</v>
      </c>
      <c r="B66" s="45" t="n">
        <v>0</v>
      </c>
      <c r="C66" s="45" t="n">
        <v>0</v>
      </c>
      <c r="D66" s="45" t="n">
        <v>0</v>
      </c>
      <c r="E66" s="45" t="n">
        <v>0</v>
      </c>
      <c r="F66" s="45" t="n">
        <v>0</v>
      </c>
      <c r="G66" s="45" t="n">
        <v>0</v>
      </c>
      <c r="H66" s="45" t="n">
        <v>0</v>
      </c>
      <c r="I66" s="45" t="n">
        <v>0</v>
      </c>
      <c r="J66" s="45" t="n">
        <v>0</v>
      </c>
      <c r="K66" s="45" t="n">
        <v>0</v>
      </c>
      <c r="L66" s="107" t="n">
        <v>0</v>
      </c>
      <c r="M66" s="53" t="n">
        <v>0</v>
      </c>
      <c r="N66" s="53" t="n">
        <v>0</v>
      </c>
      <c r="O66" s="53" t="n">
        <v>0</v>
      </c>
      <c r="P66" s="52" t="n">
        <v>0</v>
      </c>
      <c r="Q66" s="416" t="n">
        <v>3</v>
      </c>
      <c r="R66" s="416" t="n">
        <v>3</v>
      </c>
      <c r="S66" s="77"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9" t="n">
        <v>10</v>
      </c>
      <c r="AO66" s="49" t="n">
        <v>10</v>
      </c>
      <c r="AP66" s="49" t="n">
        <v>10</v>
      </c>
      <c r="AQ66" s="49" t="n">
        <v>10</v>
      </c>
      <c r="AR66" s="49"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W7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5"/>
    <col collapsed="false" customWidth="true" hidden="true" outlineLevel="0" max="12" min="11" style="42" width="11.43"/>
    <col collapsed="false" customWidth="true" hidden="true" outlineLevel="0" max="13" min="13" style="43" width="19.14"/>
    <col collapsed="false" customWidth="true" hidden="true" outlineLevel="0" max="15" min="14" style="52" width="12.28"/>
    <col collapsed="false" customWidth="true" hidden="true" outlineLevel="0" max="16" min="16" style="52" width="23.42"/>
    <col collapsed="false" customWidth="true" hidden="true" outlineLevel="0" max="17" min="17" style="52" width="3.71"/>
    <col collapsed="false" customWidth="true" hidden="false" outlineLevel="0" max="20" min="18" style="416" width="3"/>
    <col collapsed="false" customWidth="true" hidden="false" outlineLevel="0" max="21" min="21" style="77" width="12"/>
    <col collapsed="false" customWidth="true" hidden="false" outlineLevel="0" max="22" min="22" style="42" width="31"/>
    <col collapsed="false" customWidth="true" hidden="false" outlineLevel="0" max="23" min="23" style="42" width="0.15"/>
    <col collapsed="false" customWidth="true" hidden="true" outlineLevel="0" max="28" min="24" style="42" width="21.71"/>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21.71"/>
    <col collapsed="false" customWidth="true" hidden="false" outlineLevel="0" max="37" min="34" style="42" width="21"/>
    <col collapsed="false" customWidth="true" hidden="false" outlineLevel="0" max="38" min="38" style="42" width="11"/>
    <col collapsed="false" customWidth="true" hidden="false" outlineLevel="0" max="39" min="39" style="42" width="3.71"/>
    <col collapsed="false" customWidth="true" hidden="false" outlineLevel="0" max="40" min="40" style="42" width="11"/>
    <col collapsed="false" customWidth="true" hidden="true" outlineLevel="0" max="41" min="41" style="42" width="8.57"/>
    <col collapsed="false" customWidth="true" hidden="false" outlineLevel="0" max="42" min="42" style="42" width="4"/>
    <col collapsed="false" customWidth="true" hidden="false" outlineLevel="0" max="43" min="43" style="42" width="115"/>
    <col collapsed="false" customWidth="true" hidden="false" outlineLevel="0" max="48" min="44" style="49" width="10"/>
    <col collapsed="false" customWidth="false" hidden="true" outlineLevel="0" max="49" min="49" style="42" width="10.57"/>
  </cols>
  <sheetData>
    <row r="1" customFormat="false" ht="22.5" hidden="true" customHeight="true" outlineLevel="0" collapsed="false">
      <c r="AW1" s="42" t="s">
        <v>14</v>
      </c>
    </row>
    <row r="2" customFormat="false" ht="21" hidden="true" customHeight="true" outlineLevel="0" collapsed="false">
      <c r="A2" s="238"/>
      <c r="B2" s="238"/>
      <c r="C2" s="238"/>
      <c r="D2" s="238"/>
      <c r="E2" s="496" t="n">
        <v>1</v>
      </c>
      <c r="F2" s="238"/>
      <c r="G2" s="238"/>
      <c r="H2" s="238"/>
      <c r="I2" s="238"/>
      <c r="J2" s="238"/>
      <c r="K2" s="238"/>
      <c r="L2" s="238"/>
      <c r="M2" s="497"/>
      <c r="N2" s="77"/>
      <c r="O2" s="77"/>
      <c r="P2" s="77"/>
      <c r="R2" s="136"/>
      <c r="S2" s="136"/>
      <c r="T2" s="421"/>
      <c r="U2" s="422" t="e">
        <f aca="false">INDEX(PT_DIFFERENTIATION_NUM_NTAR,MATCH(A2,PT_DIFFERENTIATION_NTAR_ID,0))</f>
        <v>#N/A</v>
      </c>
      <c r="V2" s="423" t="s">
        <v>122</v>
      </c>
      <c r="W2" s="424"/>
      <c r="X2" s="426"/>
      <c r="Y2" s="426"/>
      <c r="Z2" s="426"/>
      <c r="AA2" s="426"/>
      <c r="AB2" s="426"/>
      <c r="AC2" s="426"/>
      <c r="AD2" s="426"/>
      <c r="AE2" s="426"/>
      <c r="AF2" s="426"/>
      <c r="AG2" s="426" t="e">
        <f aca="false">INDEX(PT_DIFFERENTIATION_NTAR,MATCH(A2,PT_DIFFERENTIATION_NTAR_ID,0))</f>
        <v>#N/A</v>
      </c>
      <c r="AH2" s="426"/>
      <c r="AI2" s="426"/>
      <c r="AJ2" s="426"/>
      <c r="AK2" s="426"/>
      <c r="AL2" s="426"/>
      <c r="AM2" s="426"/>
      <c r="AN2" s="426"/>
      <c r="AO2" s="426"/>
      <c r="AP2" s="426"/>
      <c r="AQ2" s="427" t="s">
        <v>393</v>
      </c>
      <c r="AS2" s="122"/>
      <c r="AT2" s="122" t="str">
        <f aca="false">IF(V2="","",V2)</f>
        <v>Наименование тарифа</v>
      </c>
      <c r="AU2" s="122"/>
      <c r="AV2" s="122"/>
      <c r="AW2" s="42" t="n">
        <v>0</v>
      </c>
    </row>
    <row r="3" customFormat="false" ht="21" hidden="true" customHeight="true" outlineLevel="0" collapsed="false">
      <c r="A3" s="238"/>
      <c r="B3" s="238"/>
      <c r="C3" s="238"/>
      <c r="D3" s="238"/>
      <c r="E3" s="496"/>
      <c r="F3" s="496" t="n">
        <v>1</v>
      </c>
      <c r="G3" s="238"/>
      <c r="H3" s="238"/>
      <c r="I3" s="238"/>
      <c r="J3" s="238"/>
      <c r="K3" s="238"/>
      <c r="L3" s="238"/>
      <c r="M3" s="497"/>
      <c r="N3" s="77"/>
      <c r="O3" s="77"/>
      <c r="P3" s="77"/>
      <c r="Q3" s="43"/>
      <c r="R3" s="428"/>
      <c r="S3" s="42"/>
      <c r="T3" s="429"/>
      <c r="U3" s="422" t="e">
        <f aca="false">INDEX(PT_DIFFERENTIATION_NUM_TER,MATCH(B3,PT_DIFFERENTIATION_TER_ID,0))</f>
        <v>#N/A</v>
      </c>
      <c r="V3" s="430" t="s">
        <v>394</v>
      </c>
      <c r="W3" s="424"/>
      <c r="X3" s="426"/>
      <c r="Y3" s="426"/>
      <c r="Z3" s="426"/>
      <c r="AA3" s="426"/>
      <c r="AB3" s="426"/>
      <c r="AC3" s="426"/>
      <c r="AD3" s="426"/>
      <c r="AE3" s="426"/>
      <c r="AF3" s="426"/>
      <c r="AG3" s="426" t="e">
        <f aca="false">INDEX(PT_DIFFERENTIATION_TER,MATCH(B3,PT_DIFFERENTIATION_TER_ID,0))</f>
        <v>#N/A</v>
      </c>
      <c r="AH3" s="426"/>
      <c r="AI3" s="426"/>
      <c r="AJ3" s="426"/>
      <c r="AK3" s="426"/>
      <c r="AL3" s="426"/>
      <c r="AM3" s="426"/>
      <c r="AN3" s="426"/>
      <c r="AO3" s="426"/>
      <c r="AP3" s="426"/>
      <c r="AQ3" s="427" t="s">
        <v>395</v>
      </c>
      <c r="AS3" s="122"/>
      <c r="AT3" s="122" t="str">
        <f aca="false">IF(V3="","",V3)</f>
        <v>Территория действия тарифа</v>
      </c>
      <c r="AU3" s="122"/>
      <c r="AV3" s="122"/>
      <c r="AW3" s="42" t="n">
        <v>0</v>
      </c>
    </row>
    <row r="4" customFormat="false" ht="22.5" hidden="true" customHeight="true" outlineLevel="0" collapsed="false">
      <c r="A4" s="238"/>
      <c r="B4" s="238"/>
      <c r="C4" s="238"/>
      <c r="D4" s="238"/>
      <c r="E4" s="496"/>
      <c r="F4" s="496"/>
      <c r="G4" s="496" t="n">
        <v>1</v>
      </c>
      <c r="H4" s="238"/>
      <c r="I4" s="238"/>
      <c r="J4" s="238"/>
      <c r="K4" s="238"/>
      <c r="L4" s="238"/>
      <c r="M4" s="497"/>
      <c r="N4" s="77"/>
      <c r="O4" s="77"/>
      <c r="P4" s="77"/>
      <c r="Q4" s="431"/>
      <c r="R4" s="428"/>
      <c r="S4" s="42"/>
      <c r="T4" s="429"/>
      <c r="U4" s="422" t="e">
        <f aca="false">INDEX(PT_DIFFERENTIATION_NUM_CS,MATCH(C4,PT_DIFFERENTIATION_CS_ID,0))</f>
        <v>#N/A</v>
      </c>
      <c r="V4" s="432" t="s">
        <v>396</v>
      </c>
      <c r="W4" s="424"/>
      <c r="X4" s="426"/>
      <c r="Y4" s="426"/>
      <c r="Z4" s="426"/>
      <c r="AA4" s="426"/>
      <c r="AB4" s="426"/>
      <c r="AC4" s="426"/>
      <c r="AD4" s="426"/>
      <c r="AE4" s="426"/>
      <c r="AF4" s="426"/>
      <c r="AG4" s="426" t="e">
        <f aca="false">INDEX(PT_DIFFERENTIATION_CS,MATCH(C4,PT_DIFFERENTIATION_CS_ID,0))</f>
        <v>#N/A</v>
      </c>
      <c r="AH4" s="426"/>
      <c r="AI4" s="426"/>
      <c r="AJ4" s="426"/>
      <c r="AK4" s="426"/>
      <c r="AL4" s="426"/>
      <c r="AM4" s="426"/>
      <c r="AN4" s="426"/>
      <c r="AO4" s="426"/>
      <c r="AP4" s="426"/>
      <c r="AQ4" s="427" t="s">
        <v>397</v>
      </c>
      <c r="AS4" s="122"/>
      <c r="AT4" s="122" t="str">
        <f aca="false">IF(V4="","",V4)</f>
        <v>Наименование системы теплоснабжения </v>
      </c>
      <c r="AU4" s="122"/>
      <c r="AV4" s="122"/>
      <c r="AW4" s="42" t="n">
        <v>0</v>
      </c>
    </row>
    <row r="5" customFormat="false" ht="21" hidden="true" customHeight="true" outlineLevel="0" collapsed="false">
      <c r="A5" s="238"/>
      <c r="B5" s="238"/>
      <c r="C5" s="238"/>
      <c r="D5" s="238"/>
      <c r="E5" s="496"/>
      <c r="F5" s="496"/>
      <c r="G5" s="496"/>
      <c r="H5" s="496" t="n">
        <v>1</v>
      </c>
      <c r="I5" s="238"/>
      <c r="J5" s="238"/>
      <c r="K5" s="238"/>
      <c r="L5" s="238"/>
      <c r="M5" s="497"/>
      <c r="N5" s="77"/>
      <c r="O5" s="77"/>
      <c r="P5" s="77"/>
      <c r="Q5" s="431"/>
      <c r="R5" s="428"/>
      <c r="S5" s="42"/>
      <c r="T5" s="429"/>
      <c r="U5" s="422" t="e">
        <f aca="false">INDEX(PT_DIFFERENTIATION_NUM_IST_TE,MATCH(D5,PT_DIFFERENTIATION_IST_TE_ID,0))</f>
        <v>#N/A</v>
      </c>
      <c r="V5" s="433" t="s">
        <v>398</v>
      </c>
      <c r="W5" s="424"/>
      <c r="X5" s="426"/>
      <c r="Y5" s="426"/>
      <c r="Z5" s="426"/>
      <c r="AA5" s="426"/>
      <c r="AB5" s="426"/>
      <c r="AC5" s="426"/>
      <c r="AD5" s="426"/>
      <c r="AE5" s="426"/>
      <c r="AF5" s="426"/>
      <c r="AG5" s="426" t="e">
        <f aca="false">INDEX(PT_DIFFERENTIATION_IST_TE,MATCH(D5,PT_DIFFERENTIATION_IST_TE_ID,0))</f>
        <v>#N/A</v>
      </c>
      <c r="AH5" s="426"/>
      <c r="AI5" s="426"/>
      <c r="AJ5" s="426"/>
      <c r="AK5" s="426"/>
      <c r="AL5" s="426"/>
      <c r="AM5" s="426"/>
      <c r="AN5" s="426"/>
      <c r="AO5" s="426"/>
      <c r="AP5" s="426"/>
      <c r="AQ5" s="427" t="s">
        <v>399</v>
      </c>
      <c r="AS5" s="122"/>
      <c r="AT5" s="122" t="str">
        <f aca="false">IF(V5="","",V5)</f>
        <v>Источник тепловой энергии  </v>
      </c>
      <c r="AU5" s="122"/>
      <c r="AV5" s="122"/>
      <c r="AW5" s="42" t="n">
        <v>0</v>
      </c>
    </row>
    <row r="6" customFormat="false" ht="14.25" hidden="true" customHeight="true" outlineLevel="0" collapsed="false">
      <c r="A6" s="238"/>
      <c r="B6" s="238"/>
      <c r="C6" s="238"/>
      <c r="D6" s="238"/>
      <c r="E6" s="496"/>
      <c r="F6" s="496"/>
      <c r="G6" s="496"/>
      <c r="H6" s="496"/>
      <c r="I6" s="150" t="e">
        <f aca="false">U5&amp;".1"</f>
        <v>#N/A</v>
      </c>
      <c r="J6" s="238"/>
      <c r="K6" s="238"/>
      <c r="L6" s="238"/>
      <c r="M6" s="497" t="s">
        <v>400</v>
      </c>
      <c r="N6" s="42"/>
      <c r="Q6" s="125" t="n">
        <v>1</v>
      </c>
      <c r="R6" s="125"/>
      <c r="S6" s="125"/>
      <c r="T6" s="435"/>
      <c r="U6" s="299"/>
      <c r="V6" s="507"/>
      <c r="W6" s="508"/>
      <c r="X6" s="509"/>
      <c r="Y6" s="509"/>
      <c r="Z6" s="509"/>
      <c r="AA6" s="509"/>
      <c r="AB6" s="509"/>
      <c r="AC6" s="509"/>
      <c r="AD6" s="509"/>
      <c r="AE6" s="509"/>
      <c r="AF6" s="509"/>
      <c r="AG6" s="509"/>
      <c r="AH6" s="509"/>
      <c r="AI6" s="509"/>
      <c r="AJ6" s="509"/>
      <c r="AK6" s="509"/>
      <c r="AL6" s="509"/>
      <c r="AM6" s="509"/>
      <c r="AN6" s="509"/>
      <c r="AO6" s="509"/>
      <c r="AP6" s="509"/>
      <c r="AQ6" s="510"/>
      <c r="AS6" s="122"/>
      <c r="AT6" s="122" t="str">
        <f aca="false">IF(V6="","",V6)</f>
        <v/>
      </c>
      <c r="AU6" s="122"/>
      <c r="AV6" s="122"/>
      <c r="AW6" s="42" t="n">
        <v>0</v>
      </c>
    </row>
    <row r="7" customFormat="false" ht="21" hidden="true" customHeight="true" outlineLevel="0" collapsed="false">
      <c r="A7" s="238"/>
      <c r="B7" s="238"/>
      <c r="C7" s="238"/>
      <c r="D7" s="238"/>
      <c r="E7" s="496"/>
      <c r="F7" s="496"/>
      <c r="G7" s="496"/>
      <c r="H7" s="496"/>
      <c r="I7" s="150"/>
      <c r="J7" s="150" t="e">
        <f aca="false">I6&amp;".1"</f>
        <v>#N/A</v>
      </c>
      <c r="K7" s="238"/>
      <c r="L7" s="238"/>
      <c r="M7" s="497" t="s">
        <v>403</v>
      </c>
      <c r="N7" s="42"/>
      <c r="O7" s="42"/>
      <c r="Q7" s="125"/>
      <c r="R7" s="125" t="n">
        <v>1</v>
      </c>
      <c r="S7" s="49"/>
      <c r="T7" s="438"/>
      <c r="U7" s="422" t="e">
        <f aca="false">$J7</f>
        <v>#N/A</v>
      </c>
      <c r="V7" s="439" t="s">
        <v>404</v>
      </c>
      <c r="W7" s="424"/>
      <c r="X7" s="437"/>
      <c r="Y7" s="437"/>
      <c r="Z7" s="437"/>
      <c r="AA7" s="437"/>
      <c r="AB7" s="437"/>
      <c r="AC7" s="437"/>
      <c r="AD7" s="437"/>
      <c r="AE7" s="437"/>
      <c r="AF7" s="437"/>
      <c r="AG7" s="437"/>
      <c r="AH7" s="437"/>
      <c r="AI7" s="437"/>
      <c r="AJ7" s="437"/>
      <c r="AK7" s="437"/>
      <c r="AL7" s="437"/>
      <c r="AM7" s="437"/>
      <c r="AN7" s="437"/>
      <c r="AO7" s="437"/>
      <c r="AP7" s="437"/>
      <c r="AQ7" s="427" t="s">
        <v>405</v>
      </c>
      <c r="AS7" s="122"/>
      <c r="AT7" s="122" t="str">
        <f aca="false">IF(V7="","",V7)</f>
        <v>Группа потребителей</v>
      </c>
      <c r="AU7" s="122"/>
      <c r="AV7" s="122"/>
      <c r="AW7" s="42" t="n">
        <v>0</v>
      </c>
    </row>
    <row r="8" customFormat="false" ht="21" hidden="true" customHeight="true" outlineLevel="0" collapsed="false">
      <c r="A8" s="238"/>
      <c r="B8" s="238"/>
      <c r="C8" s="238"/>
      <c r="D8" s="238"/>
      <c r="E8" s="496"/>
      <c r="F8" s="496"/>
      <c r="G8" s="496"/>
      <c r="H8" s="496"/>
      <c r="I8" s="150"/>
      <c r="J8" s="150"/>
      <c r="K8" s="138" t="e">
        <f aca="false">J7&amp;".1"</f>
        <v>#N/A</v>
      </c>
      <c r="L8" s="43"/>
      <c r="M8" s="497" t="s">
        <v>406</v>
      </c>
      <c r="N8" s="42"/>
      <c r="O8" s="42"/>
      <c r="P8" s="42"/>
      <c r="Q8" s="125"/>
      <c r="R8" s="125"/>
      <c r="S8" s="125" t="n">
        <v>1</v>
      </c>
      <c r="T8" s="438"/>
      <c r="U8" s="422" t="e">
        <f aca="false">$K8</f>
        <v>#N/A</v>
      </c>
      <c r="V8" s="440"/>
      <c r="W8" s="424"/>
      <c r="X8" s="441"/>
      <c r="Y8" s="441"/>
      <c r="Z8" s="441"/>
      <c r="AA8" s="441"/>
      <c r="AB8" s="530"/>
      <c r="AC8" s="444"/>
      <c r="AD8" s="206" t="s">
        <v>64</v>
      </c>
      <c r="AE8" s="444"/>
      <c r="AF8" s="206" t="s">
        <v>64</v>
      </c>
      <c r="AG8" s="531"/>
      <c r="AH8" s="441"/>
      <c r="AI8" s="441"/>
      <c r="AJ8" s="441"/>
      <c r="AK8" s="443"/>
      <c r="AL8" s="444"/>
      <c r="AM8" s="206" t="s">
        <v>64</v>
      </c>
      <c r="AN8" s="444"/>
      <c r="AO8" s="206" t="s">
        <v>64</v>
      </c>
      <c r="AP8" s="442"/>
      <c r="AQ8" s="532" t="s">
        <v>449</v>
      </c>
      <c r="AR8" s="49" t="e">
        <f aca="false">strcheckdate(X10:AP10)</f>
        <v>#NAME?</v>
      </c>
      <c r="AS8" s="122"/>
      <c r="AT8" s="122" t="str">
        <f aca="false">IF(V8="","",V8)</f>
        <v/>
      </c>
      <c r="AU8" s="122"/>
      <c r="AV8" s="122"/>
      <c r="AW8" s="42" t="n">
        <v>0</v>
      </c>
    </row>
    <row r="9" customFormat="false" ht="21" hidden="true" customHeight="true" outlineLevel="0" collapsed="false">
      <c r="A9" s="238"/>
      <c r="B9" s="238"/>
      <c r="C9" s="238"/>
      <c r="D9" s="238"/>
      <c r="E9" s="496"/>
      <c r="F9" s="496"/>
      <c r="G9" s="496"/>
      <c r="H9" s="496"/>
      <c r="I9" s="150"/>
      <c r="J9" s="150"/>
      <c r="K9" s="150"/>
      <c r="L9" s="138" t="e">
        <f aca="false">K8&amp;".1"</f>
        <v>#N/A</v>
      </c>
      <c r="M9" s="497"/>
      <c r="N9" s="42"/>
      <c r="O9" s="42"/>
      <c r="P9" s="42"/>
      <c r="Q9" s="125"/>
      <c r="R9" s="125"/>
      <c r="S9" s="125"/>
      <c r="T9" s="438"/>
      <c r="U9" s="422" t="e">
        <f aca="false">$L9</f>
        <v>#N/A</v>
      </c>
      <c r="V9" s="533"/>
      <c r="W9" s="424"/>
      <c r="X9" s="442"/>
      <c r="Y9" s="441"/>
      <c r="Z9" s="441"/>
      <c r="AA9" s="441"/>
      <c r="AB9" s="530"/>
      <c r="AC9" s="444"/>
      <c r="AD9" s="206"/>
      <c r="AE9" s="444"/>
      <c r="AF9" s="206"/>
      <c r="AG9" s="531"/>
      <c r="AH9" s="441"/>
      <c r="AI9" s="441"/>
      <c r="AJ9" s="441"/>
      <c r="AK9" s="443"/>
      <c r="AL9" s="444"/>
      <c r="AM9" s="206"/>
      <c r="AN9" s="444"/>
      <c r="AO9" s="206"/>
      <c r="AP9" s="442"/>
      <c r="AQ9" s="445" t="s">
        <v>450</v>
      </c>
      <c r="AS9" s="122"/>
      <c r="AT9" s="122"/>
      <c r="AU9" s="122"/>
      <c r="AV9" s="122"/>
      <c r="AW9" s="42" t="n">
        <v>0</v>
      </c>
    </row>
    <row r="10" customFormat="false" ht="14.25" hidden="true" customHeight="true" outlineLevel="0" collapsed="false">
      <c r="A10" s="238"/>
      <c r="B10" s="238"/>
      <c r="C10" s="238"/>
      <c r="D10" s="238"/>
      <c r="E10" s="496"/>
      <c r="F10" s="496"/>
      <c r="G10" s="496"/>
      <c r="H10" s="496"/>
      <c r="I10" s="150"/>
      <c r="J10" s="150"/>
      <c r="K10" s="150"/>
      <c r="L10" s="138"/>
      <c r="M10" s="497"/>
      <c r="N10" s="42"/>
      <c r="O10" s="42"/>
      <c r="P10" s="42"/>
      <c r="Q10" s="125"/>
      <c r="R10" s="125"/>
      <c r="S10" s="125"/>
      <c r="T10" s="438"/>
      <c r="U10" s="397"/>
      <c r="V10" s="424"/>
      <c r="W10" s="424"/>
      <c r="X10" s="442"/>
      <c r="Y10" s="442"/>
      <c r="Z10" s="442"/>
      <c r="AA10" s="442"/>
      <c r="AB10" s="534" t="str">
        <f aca="false">AC8&amp;"-"&amp;AE8</f>
        <v>-</v>
      </c>
      <c r="AC10" s="444"/>
      <c r="AD10" s="206"/>
      <c r="AE10" s="444"/>
      <c r="AF10" s="206"/>
      <c r="AG10" s="535"/>
      <c r="AH10" s="442"/>
      <c r="AI10" s="442"/>
      <c r="AJ10" s="442"/>
      <c r="AK10" s="446" t="str">
        <f aca="false">AL8&amp;"-"&amp;AN8</f>
        <v>-</v>
      </c>
      <c r="AL10" s="444"/>
      <c r="AM10" s="206"/>
      <c r="AN10" s="444"/>
      <c r="AO10" s="206"/>
      <c r="AP10" s="442"/>
      <c r="AQ10" s="445"/>
      <c r="AS10" s="122"/>
      <c r="AT10" s="122" t="str">
        <f aca="false">IF(V10="","",V10)</f>
        <v/>
      </c>
      <c r="AU10" s="122"/>
      <c r="AV10" s="122"/>
      <c r="AW10" s="42" t="n">
        <v>0</v>
      </c>
    </row>
    <row r="11" customFormat="false" ht="11.25" hidden="true" customHeight="true" outlineLevel="0" collapsed="false">
      <c r="A11" s="238"/>
      <c r="B11" s="238"/>
      <c r="C11" s="238"/>
      <c r="D11" s="238"/>
      <c r="E11" s="496"/>
      <c r="F11" s="496"/>
      <c r="G11" s="496"/>
      <c r="H11" s="496"/>
      <c r="I11" s="150"/>
      <c r="J11" s="150"/>
      <c r="K11" s="138"/>
      <c r="L11" s="238"/>
      <c r="M11" s="497"/>
      <c r="N11" s="42"/>
      <c r="O11" s="42"/>
      <c r="P11" s="42"/>
      <c r="Q11" s="125"/>
      <c r="R11" s="125"/>
      <c r="S11" s="125"/>
      <c r="T11" s="438"/>
      <c r="U11" s="447"/>
      <c r="V11" s="448" t="s">
        <v>451</v>
      </c>
      <c r="W11" s="536"/>
      <c r="X11" s="537"/>
      <c r="Y11" s="537"/>
      <c r="Z11" s="537"/>
      <c r="AA11" s="537"/>
      <c r="AB11" s="538"/>
      <c r="AC11" s="444"/>
      <c r="AD11" s="206"/>
      <c r="AE11" s="444"/>
      <c r="AF11" s="206"/>
      <c r="AG11" s="537"/>
      <c r="AH11" s="537"/>
      <c r="AI11" s="537"/>
      <c r="AJ11" s="537"/>
      <c r="AK11" s="538"/>
      <c r="AL11" s="444"/>
      <c r="AM11" s="206"/>
      <c r="AN11" s="444"/>
      <c r="AO11" s="206"/>
      <c r="AP11" s="539"/>
      <c r="AQ11" s="445"/>
      <c r="AS11" s="122"/>
      <c r="AT11" s="122"/>
      <c r="AU11" s="122"/>
      <c r="AV11" s="122"/>
      <c r="AW11" s="42" t="n">
        <v>0</v>
      </c>
    </row>
    <row r="12" customFormat="false" ht="15" hidden="true" customHeight="true" outlineLevel="0" collapsed="false">
      <c r="A12" s="238"/>
      <c r="B12" s="238"/>
      <c r="C12" s="238"/>
      <c r="D12" s="238"/>
      <c r="E12" s="496"/>
      <c r="F12" s="496"/>
      <c r="G12" s="496"/>
      <c r="H12" s="496"/>
      <c r="I12" s="150"/>
      <c r="J12" s="150"/>
      <c r="K12" s="238"/>
      <c r="L12" s="238"/>
      <c r="M12" s="497"/>
      <c r="N12" s="42"/>
      <c r="O12" s="42"/>
      <c r="Q12" s="125"/>
      <c r="R12" s="125"/>
      <c r="S12" s="125"/>
      <c r="T12" s="435"/>
      <c r="U12" s="447"/>
      <c r="V12" s="450" t="s">
        <v>408</v>
      </c>
      <c r="W12" s="196"/>
      <c r="X12" s="196"/>
      <c r="Y12" s="196"/>
      <c r="Z12" s="196"/>
      <c r="AA12" s="196"/>
      <c r="AB12" s="196"/>
      <c r="AC12" s="540"/>
      <c r="AD12" s="540"/>
      <c r="AE12" s="540"/>
      <c r="AF12" s="540"/>
      <c r="AG12" s="196"/>
      <c r="AH12" s="196"/>
      <c r="AI12" s="196"/>
      <c r="AJ12" s="196"/>
      <c r="AK12" s="196"/>
      <c r="AL12" s="196"/>
      <c r="AM12" s="196"/>
      <c r="AN12" s="196"/>
      <c r="AO12" s="196"/>
      <c r="AP12" s="449"/>
      <c r="AQ12" s="445"/>
      <c r="AS12" s="122"/>
      <c r="AT12" s="122" t="str">
        <f aca="false">IF(V12="","",V12)</f>
        <v>Добавить вид теплоносителя (параметры теплоносителя)</v>
      </c>
      <c r="AU12" s="122"/>
      <c r="AV12" s="122"/>
      <c r="AW12" s="42" t="n">
        <v>0</v>
      </c>
    </row>
    <row r="13" customFormat="false" ht="11.25" hidden="true" customHeight="true" outlineLevel="0" collapsed="false">
      <c r="A13" s="238"/>
      <c r="B13" s="238"/>
      <c r="C13" s="238"/>
      <c r="D13" s="238"/>
      <c r="E13" s="496"/>
      <c r="F13" s="496"/>
      <c r="G13" s="496"/>
      <c r="H13" s="496"/>
      <c r="I13" s="150"/>
      <c r="J13" s="238"/>
      <c r="K13" s="238"/>
      <c r="L13" s="238"/>
      <c r="M13" s="497"/>
      <c r="N13" s="42"/>
      <c r="Q13" s="125"/>
      <c r="R13" s="125"/>
      <c r="S13" s="125"/>
      <c r="T13" s="435"/>
      <c r="U13" s="447"/>
      <c r="V13" s="454" t="s">
        <v>409</v>
      </c>
      <c r="W13" s="196"/>
      <c r="X13" s="196"/>
      <c r="Y13" s="196"/>
      <c r="Z13" s="196"/>
      <c r="AA13" s="196"/>
      <c r="AB13" s="196"/>
      <c r="AC13" s="196"/>
      <c r="AD13" s="196"/>
      <c r="AE13" s="196"/>
      <c r="AF13" s="451"/>
      <c r="AG13" s="196"/>
      <c r="AH13" s="196"/>
      <c r="AI13" s="196"/>
      <c r="AJ13" s="196"/>
      <c r="AK13" s="196"/>
      <c r="AL13" s="196"/>
      <c r="AM13" s="196"/>
      <c r="AN13" s="196"/>
      <c r="AO13" s="451"/>
      <c r="AP13" s="196"/>
      <c r="AQ13" s="452"/>
      <c r="AS13" s="122"/>
      <c r="AT13" s="122" t="str">
        <f aca="false">IF(V13="","",V13)</f>
        <v>Добавить группу потребителей</v>
      </c>
      <c r="AU13" s="122"/>
      <c r="AV13" s="122"/>
      <c r="AW13" s="42" t="n">
        <v>0</v>
      </c>
    </row>
    <row r="14" customFormat="false" ht="14.25" hidden="true" customHeight="true" outlineLevel="0" collapsed="false">
      <c r="A14" s="238"/>
      <c r="B14" s="238"/>
      <c r="C14" s="238"/>
      <c r="D14" s="238"/>
      <c r="E14" s="496"/>
      <c r="F14" s="496"/>
      <c r="G14" s="496"/>
      <c r="H14" s="496"/>
      <c r="I14" s="238"/>
      <c r="J14" s="238"/>
      <c r="K14" s="238"/>
      <c r="L14" s="238"/>
      <c r="M14" s="497"/>
      <c r="N14" s="77"/>
      <c r="O14" s="77"/>
      <c r="P14" s="42"/>
      <c r="Q14" s="136"/>
      <c r="R14" s="453"/>
      <c r="S14" s="421"/>
      <c r="T14" s="136"/>
      <c r="U14" s="511"/>
      <c r="V14" s="512"/>
      <c r="W14" s="513"/>
      <c r="X14" s="513"/>
      <c r="Y14" s="513"/>
      <c r="Z14" s="513"/>
      <c r="AA14" s="513"/>
      <c r="AB14" s="513"/>
      <c r="AC14" s="513"/>
      <c r="AD14" s="513"/>
      <c r="AE14" s="513"/>
      <c r="AF14" s="513"/>
      <c r="AG14" s="513"/>
      <c r="AH14" s="513"/>
      <c r="AI14" s="513"/>
      <c r="AJ14" s="513"/>
      <c r="AK14" s="513"/>
      <c r="AL14" s="513"/>
      <c r="AM14" s="513"/>
      <c r="AN14" s="513"/>
      <c r="AO14" s="513"/>
      <c r="AP14" s="513"/>
      <c r="AQ14" s="514"/>
      <c r="AS14" s="122"/>
      <c r="AT14" s="122" t="str">
        <f aca="false">IF(V14="","",V14)</f>
        <v/>
      </c>
      <c r="AU14" s="122"/>
      <c r="AV14" s="122"/>
      <c r="AW14" s="42" t="n">
        <v>0</v>
      </c>
    </row>
    <row r="15" s="49" customFormat="true" ht="14.25" hidden="true" customHeight="true" outlineLevel="0" collapsed="false">
      <c r="A15" s="498"/>
      <c r="B15" s="498"/>
      <c r="C15" s="498"/>
      <c r="D15" s="498"/>
      <c r="E15" s="496"/>
      <c r="F15" s="496"/>
      <c r="G15" s="496"/>
      <c r="H15" s="498"/>
      <c r="I15" s="498"/>
      <c r="J15" s="498"/>
      <c r="K15" s="498"/>
      <c r="L15" s="498"/>
      <c r="M15" s="499"/>
      <c r="N15" s="500"/>
      <c r="O15" s="500"/>
      <c r="P15" s="124"/>
      <c r="Q15" s="160"/>
      <c r="R15" s="455"/>
      <c r="S15" s="160"/>
      <c r="T15" s="160"/>
      <c r="U15" s="456"/>
      <c r="V15" s="457" t="s">
        <v>411</v>
      </c>
      <c r="W15" s="458"/>
      <c r="X15" s="458"/>
      <c r="Y15" s="458"/>
      <c r="Z15" s="458"/>
      <c r="AA15" s="458"/>
      <c r="AB15" s="458"/>
      <c r="AC15" s="458"/>
      <c r="AD15" s="458"/>
      <c r="AE15" s="458"/>
      <c r="AF15" s="458"/>
      <c r="AG15" s="458"/>
      <c r="AH15" s="458"/>
      <c r="AI15" s="458"/>
      <c r="AJ15" s="458"/>
      <c r="AK15" s="458"/>
      <c r="AL15" s="458"/>
      <c r="AM15" s="458"/>
      <c r="AN15" s="458"/>
      <c r="AO15" s="458"/>
      <c r="AP15" s="458"/>
      <c r="AQ15" s="458"/>
      <c r="AS15" s="122"/>
      <c r="AT15" s="122" t="str">
        <f aca="false">IF(V15="","",V15)</f>
        <v>Добавить источник для дифференциации</v>
      </c>
      <c r="AU15" s="122"/>
      <c r="AV15" s="122"/>
      <c r="AW15" s="49" t="n">
        <v>0</v>
      </c>
    </row>
    <row r="16" s="49" customFormat="true" ht="14.25" hidden="true" customHeight="true" outlineLevel="0" collapsed="false">
      <c r="A16" s="498"/>
      <c r="B16" s="498"/>
      <c r="C16" s="498"/>
      <c r="D16" s="498"/>
      <c r="E16" s="496"/>
      <c r="F16" s="496"/>
      <c r="G16" s="498"/>
      <c r="H16" s="498"/>
      <c r="I16" s="498"/>
      <c r="J16" s="498"/>
      <c r="K16" s="498"/>
      <c r="L16" s="498"/>
      <c r="M16" s="499"/>
      <c r="N16" s="501"/>
      <c r="O16" s="501"/>
      <c r="P16" s="124"/>
      <c r="Q16" s="160"/>
      <c r="R16" s="455"/>
      <c r="S16" s="160"/>
      <c r="T16" s="160"/>
      <c r="U16" s="460"/>
      <c r="V16" s="461" t="s">
        <v>412</v>
      </c>
      <c r="W16" s="462"/>
      <c r="X16" s="462"/>
      <c r="Y16" s="462"/>
      <c r="Z16" s="462"/>
      <c r="AA16" s="462"/>
      <c r="AB16" s="462"/>
      <c r="AC16" s="462"/>
      <c r="AD16" s="462"/>
      <c r="AE16" s="462"/>
      <c r="AF16" s="462"/>
      <c r="AG16" s="462"/>
      <c r="AH16" s="462"/>
      <c r="AI16" s="462"/>
      <c r="AJ16" s="462"/>
      <c r="AK16" s="462"/>
      <c r="AL16" s="462"/>
      <c r="AM16" s="462"/>
      <c r="AN16" s="462"/>
      <c r="AO16" s="462"/>
      <c r="AP16" s="462"/>
      <c r="AQ16" s="462"/>
      <c r="AS16" s="122"/>
      <c r="AT16" s="122" t="str">
        <f aca="false">IF(V16="","",V16)</f>
        <v>Добавить централизованную систему для дифференциации</v>
      </c>
      <c r="AU16" s="122"/>
      <c r="AV16" s="122"/>
      <c r="AW16" s="49" t="n">
        <v>0</v>
      </c>
    </row>
    <row r="17" s="49" customFormat="true" ht="14.25" hidden="true" customHeight="true" outlineLevel="0" collapsed="false">
      <c r="A17" s="498"/>
      <c r="B17" s="498"/>
      <c r="C17" s="498"/>
      <c r="D17" s="498"/>
      <c r="E17" s="496"/>
      <c r="F17" s="498"/>
      <c r="G17" s="498"/>
      <c r="H17" s="498"/>
      <c r="I17" s="498"/>
      <c r="J17" s="498"/>
      <c r="K17" s="498"/>
      <c r="L17" s="498"/>
      <c r="M17" s="499"/>
      <c r="N17" s="501"/>
      <c r="O17" s="501"/>
      <c r="P17" s="124"/>
      <c r="Q17" s="160"/>
      <c r="R17" s="455"/>
      <c r="S17" s="160"/>
      <c r="T17" s="160"/>
      <c r="U17" s="460"/>
      <c r="V17" s="463" t="s">
        <v>413</v>
      </c>
      <c r="W17" s="462"/>
      <c r="X17" s="462"/>
      <c r="Y17" s="462"/>
      <c r="Z17" s="462"/>
      <c r="AA17" s="462"/>
      <c r="AB17" s="462"/>
      <c r="AC17" s="462"/>
      <c r="AD17" s="462"/>
      <c r="AE17" s="462"/>
      <c r="AF17" s="462"/>
      <c r="AG17" s="462"/>
      <c r="AH17" s="462"/>
      <c r="AI17" s="462"/>
      <c r="AJ17" s="462"/>
      <c r="AK17" s="462"/>
      <c r="AL17" s="462"/>
      <c r="AM17" s="462"/>
      <c r="AN17" s="462"/>
      <c r="AO17" s="462"/>
      <c r="AP17" s="462"/>
      <c r="AQ17" s="462"/>
      <c r="AS17" s="122"/>
      <c r="AT17" s="122" t="str">
        <f aca="false">IF(V17="","",V17)</f>
        <v>Добавить территорию для дифференциации</v>
      </c>
      <c r="AU17" s="122"/>
      <c r="AV17" s="122"/>
      <c r="AW17" s="49" t="n">
        <v>0</v>
      </c>
    </row>
    <row r="18" customFormat="false" ht="14.25" hidden="true" customHeight="true" outlineLevel="0" collapsed="false">
      <c r="AW18" s="42" t="n">
        <v>0</v>
      </c>
    </row>
    <row r="19" customFormat="false" ht="14.25" hidden="true" customHeight="true" outlineLevel="0" collapsed="false">
      <c r="AG19" s="464"/>
      <c r="AH19" s="464"/>
      <c r="AI19" s="464"/>
      <c r="AJ19" s="464"/>
      <c r="AK19" s="465"/>
      <c r="AL19" s="466"/>
      <c r="AM19" s="467" t="s">
        <v>64</v>
      </c>
      <c r="AN19" s="466"/>
      <c r="AO19" s="467" t="s">
        <v>64</v>
      </c>
      <c r="AW19" s="42" t="n">
        <v>0</v>
      </c>
    </row>
    <row r="20" customFormat="false" ht="14.25" hidden="true" customHeight="true" outlineLevel="0" collapsed="false">
      <c r="AG20" s="464"/>
      <c r="AH20" s="464"/>
      <c r="AI20" s="464"/>
      <c r="AJ20" s="464"/>
      <c r="AK20" s="465"/>
      <c r="AL20" s="466"/>
      <c r="AM20" s="467"/>
      <c r="AN20" s="466"/>
      <c r="AO20" s="467"/>
      <c r="AW20" s="42" t="n">
        <v>0</v>
      </c>
    </row>
    <row r="21" customFormat="false" ht="14.25" hidden="true" customHeight="true" outlineLevel="0" collapsed="false">
      <c r="AG21" s="464"/>
      <c r="AH21" s="464"/>
      <c r="AI21" s="464"/>
      <c r="AJ21" s="464"/>
      <c r="AK21" s="465"/>
      <c r="AL21" s="466"/>
      <c r="AM21" s="467"/>
      <c r="AN21" s="466"/>
      <c r="AO21" s="467"/>
      <c r="AW21" s="42" t="n">
        <v>0</v>
      </c>
    </row>
    <row r="22" customFormat="false" ht="14.25" hidden="true" customHeight="true" outlineLevel="0" collapsed="false">
      <c r="AG22" s="464"/>
      <c r="AH22" s="464"/>
      <c r="AI22" s="464"/>
      <c r="AJ22" s="464"/>
      <c r="AK22" s="446" t="str">
        <f aca="false">AL19&amp;"-"&amp;AN19</f>
        <v>-</v>
      </c>
      <c r="AL22" s="466"/>
      <c r="AM22" s="466"/>
      <c r="AN22" s="466"/>
      <c r="AO22" s="466"/>
      <c r="AW22" s="42" t="n">
        <v>0</v>
      </c>
    </row>
    <row r="23" customFormat="false" ht="14.25" hidden="true" customHeight="true" outlineLevel="0" collapsed="false">
      <c r="AW23" s="42" t="n">
        <v>0</v>
      </c>
    </row>
    <row r="24" s="45" customFormat="true" ht="22.5" hidden="true" customHeight="true" outlineLevel="0" collapsed="false">
      <c r="A24" s="42"/>
      <c r="B24" s="42"/>
      <c r="C24" s="42"/>
      <c r="D24" s="42"/>
      <c r="E24" s="42"/>
      <c r="F24" s="42"/>
      <c r="G24" s="42"/>
      <c r="H24" s="42"/>
      <c r="I24" s="42"/>
      <c r="J24" s="42"/>
      <c r="K24" s="42"/>
      <c r="L24" s="42"/>
      <c r="M24" s="43"/>
      <c r="N24" s="52"/>
      <c r="O24" s="52"/>
      <c r="P24" s="502" t="s">
        <v>414</v>
      </c>
      <c r="Q24" s="53"/>
      <c r="R24" s="469"/>
      <c r="S24" s="469"/>
      <c r="T24" s="469"/>
      <c r="U24" s="420"/>
      <c r="AC24" s="468"/>
      <c r="AE24" s="468"/>
      <c r="AL24" s="468"/>
      <c r="AN24" s="468"/>
      <c r="AR24" s="49"/>
      <c r="AS24" s="49"/>
      <c r="AT24" s="49"/>
      <c r="AU24" s="49"/>
      <c r="AV24" s="49"/>
      <c r="AW24" s="45" t="n">
        <v>0</v>
      </c>
    </row>
    <row r="25" s="45" customFormat="true" ht="14.25" hidden="true" customHeight="true" outlineLevel="0" collapsed="false">
      <c r="A25" s="42"/>
      <c r="B25" s="42"/>
      <c r="C25" s="42"/>
      <c r="D25" s="42"/>
      <c r="E25" s="42"/>
      <c r="F25" s="42"/>
      <c r="G25" s="42"/>
      <c r="H25" s="42"/>
      <c r="I25" s="42"/>
      <c r="J25" s="42"/>
      <c r="K25" s="42"/>
      <c r="L25" s="42"/>
      <c r="M25" s="43"/>
      <c r="N25" s="52"/>
      <c r="O25" s="52"/>
      <c r="P25" s="52"/>
      <c r="Q25" s="53"/>
      <c r="R25" s="469"/>
      <c r="S25" s="469"/>
      <c r="T25" s="469"/>
      <c r="U25" s="420"/>
      <c r="AR25" s="49"/>
      <c r="AS25" s="49"/>
      <c r="AT25" s="49"/>
      <c r="AU25" s="49"/>
      <c r="AV25" s="49"/>
      <c r="AW25" s="45" t="n">
        <v>0</v>
      </c>
    </row>
    <row r="26" s="45" customFormat="true" ht="14.25" hidden="true" customHeight="true" outlineLevel="0" collapsed="false">
      <c r="A26" s="42"/>
      <c r="B26" s="42"/>
      <c r="C26" s="42"/>
      <c r="D26" s="42"/>
      <c r="E26" s="42"/>
      <c r="F26" s="42"/>
      <c r="G26" s="42"/>
      <c r="H26" s="42"/>
      <c r="I26" s="42"/>
      <c r="J26" s="42"/>
      <c r="K26" s="42"/>
      <c r="L26" s="42"/>
      <c r="M26" s="43"/>
      <c r="N26" s="52"/>
      <c r="O26" s="52"/>
      <c r="P26" s="497" t="s">
        <v>415</v>
      </c>
      <c r="Q26" s="53"/>
      <c r="R26" s="469"/>
      <c r="S26" s="469"/>
      <c r="T26" s="469"/>
      <c r="U26" s="420"/>
      <c r="V26" s="45" t="s">
        <v>416</v>
      </c>
      <c r="AD26" s="144" t="s">
        <v>417</v>
      </c>
      <c r="AF26" s="144" t="s">
        <v>418</v>
      </c>
      <c r="AG26" s="45" t="s">
        <v>416</v>
      </c>
      <c r="AM26" s="144" t="s">
        <v>419</v>
      </c>
      <c r="AO26" s="144" t="s">
        <v>418</v>
      </c>
      <c r="AR26" s="49"/>
      <c r="AS26" s="49"/>
      <c r="AT26" s="49"/>
      <c r="AU26" s="49"/>
      <c r="AV26" s="49"/>
      <c r="AW26" s="45" t="n">
        <v>0</v>
      </c>
    </row>
    <row r="27" customFormat="false" ht="14.25" hidden="true" customHeight="true" outlineLevel="0" collapsed="false">
      <c r="P27" s="497"/>
      <c r="AW27" s="42" t="n">
        <v>0</v>
      </c>
    </row>
    <row r="28" customFormat="false" ht="14.25" hidden="true" customHeight="true" outlineLevel="0" collapsed="false">
      <c r="P28" s="497"/>
      <c r="AW28" s="42" t="n">
        <v>0</v>
      </c>
    </row>
    <row r="29" customFormat="false" ht="14.25" hidden="false" customHeight="true" outlineLevel="0" collapsed="false">
      <c r="R29" s="470"/>
      <c r="S29" s="470"/>
      <c r="T29" s="470"/>
      <c r="U29" s="471"/>
      <c r="V29" s="83"/>
      <c r="W29" s="83"/>
      <c r="AW29" s="42" t="n">
        <v>14</v>
      </c>
    </row>
    <row r="30" customFormat="false" ht="56.25" hidden="false" customHeight="true" outlineLevel="0" collapsed="false">
      <c r="R30" s="470"/>
      <c r="S30" s="470"/>
      <c r="T30" s="470"/>
      <c r="U30" s="215" t="str">
        <f aca="false">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5"/>
      <c r="W30" s="215"/>
      <c r="X30" s="215"/>
      <c r="Y30" s="215"/>
      <c r="Z30" s="215"/>
      <c r="AA30" s="215"/>
      <c r="AB30" s="215"/>
      <c r="AC30" s="215"/>
      <c r="AD30" s="215"/>
      <c r="AE30" s="215"/>
      <c r="AF30" s="215"/>
      <c r="AG30" s="215"/>
      <c r="AH30" s="215"/>
      <c r="AI30" s="215"/>
      <c r="AJ30" s="215"/>
      <c r="AK30" s="215"/>
      <c r="AL30" s="215"/>
      <c r="AM30" s="215"/>
      <c r="AN30" s="215"/>
      <c r="AO30" s="217"/>
      <c r="AW30" s="42" t="n">
        <v>54</v>
      </c>
    </row>
    <row r="31" customFormat="false" ht="14.25" hidden="false" customHeight="true" outlineLevel="0" collapsed="false">
      <c r="R31" s="470"/>
      <c r="S31" s="470"/>
      <c r="T31" s="470"/>
      <c r="U31" s="259" t="str">
        <f aca="false">IF(org=0,"Не определено",org)</f>
        <v>Филиал ПАО "ОГК-2" - Серовская ГРЭС, г. Серов</v>
      </c>
      <c r="V31" s="259"/>
      <c r="W31" s="259"/>
      <c r="X31" s="259"/>
      <c r="Y31" s="259"/>
      <c r="Z31" s="259"/>
      <c r="AA31" s="259"/>
      <c r="AB31" s="259"/>
      <c r="AC31" s="259"/>
      <c r="AD31" s="259"/>
      <c r="AE31" s="259"/>
      <c r="AF31" s="259"/>
      <c r="AG31" s="259"/>
      <c r="AH31" s="259"/>
      <c r="AI31" s="259"/>
      <c r="AJ31" s="259"/>
      <c r="AK31" s="259"/>
      <c r="AL31" s="259"/>
      <c r="AM31" s="259"/>
      <c r="AN31" s="259"/>
      <c r="AO31" s="217"/>
      <c r="AW31" s="42" t="n">
        <v>14</v>
      </c>
    </row>
    <row r="32" customFormat="false" ht="14.25" hidden="true" customHeight="true" outlineLevel="0" collapsed="false">
      <c r="R32" s="470"/>
      <c r="S32" s="470"/>
      <c r="T32" s="470"/>
      <c r="U32" s="471"/>
      <c r="V32" s="83"/>
      <c r="W32" s="83"/>
      <c r="X32" s="472"/>
      <c r="Y32" s="472"/>
      <c r="Z32" s="472"/>
      <c r="AA32" s="472"/>
      <c r="AB32" s="472"/>
      <c r="AC32" s="472"/>
      <c r="AD32" s="472"/>
      <c r="AE32" s="472"/>
      <c r="AF32" s="472"/>
      <c r="AG32" s="472"/>
      <c r="AH32" s="472"/>
      <c r="AI32" s="472"/>
      <c r="AJ32" s="472"/>
      <c r="AK32" s="472"/>
      <c r="AL32" s="472"/>
      <c r="AM32" s="472"/>
      <c r="AN32" s="472"/>
      <c r="AO32" s="472"/>
      <c r="AW32" s="42" t="n">
        <v>0</v>
      </c>
    </row>
    <row r="33" s="177" customFormat="true" ht="25.5" hidden="true" customHeight="true" outlineLevel="0" collapsed="false">
      <c r="A33" s="100"/>
      <c r="B33" s="100"/>
      <c r="C33" s="100"/>
      <c r="D33" s="100"/>
      <c r="E33" s="100"/>
      <c r="F33" s="100"/>
      <c r="G33" s="100"/>
      <c r="H33" s="100"/>
      <c r="I33" s="100"/>
      <c r="J33" s="100"/>
      <c r="K33" s="100"/>
      <c r="L33" s="100"/>
      <c r="M33" s="497"/>
      <c r="N33" s="100"/>
      <c r="O33" s="100"/>
      <c r="P33" s="100"/>
      <c r="U33" s="473" t="s">
        <v>41</v>
      </c>
      <c r="V33" s="473"/>
      <c r="W33" s="474"/>
      <c r="X33" s="475" t="str">
        <f aca="false">IF(TITLE_NAME_OR_PR_CHANGE="",IF(TITLE_NAME_OR_PR="","",TITLE_NAME_OR_PR),TITLE_NAME_OR_PR_CHANGE)</f>
        <v/>
      </c>
      <c r="Y33" s="475"/>
      <c r="Z33" s="475"/>
      <c r="AA33" s="475"/>
      <c r="AB33" s="475"/>
      <c r="AC33" s="475"/>
      <c r="AD33" s="475"/>
      <c r="AE33" s="475"/>
      <c r="AF33" s="42"/>
      <c r="AG33" s="475" t="str">
        <f aca="false">IF(TITLE_NAME_OR_PR_CHANGE="",IF(TITLE_NAME_OR_PR="","",TITLE_NAME_OR_PR),TITLE_NAME_OR_PR_CHANGE)</f>
        <v/>
      </c>
      <c r="AH33" s="475"/>
      <c r="AI33" s="475"/>
      <c r="AJ33" s="475"/>
      <c r="AK33" s="475"/>
      <c r="AL33" s="475"/>
      <c r="AM33" s="475"/>
      <c r="AN33" s="475"/>
      <c r="AO33" s="42"/>
      <c r="AP33" s="42"/>
      <c r="AQ33" s="476"/>
      <c r="AR33" s="122"/>
      <c r="AS33" s="122"/>
      <c r="AT33" s="122"/>
      <c r="AU33" s="122"/>
      <c r="AV33" s="122"/>
      <c r="AW33" s="177" t="n">
        <v>0</v>
      </c>
    </row>
    <row r="34" s="177" customFormat="true" ht="18.75" hidden="true" customHeight="true" outlineLevel="0" collapsed="false">
      <c r="A34" s="100"/>
      <c r="B34" s="100"/>
      <c r="C34" s="100"/>
      <c r="D34" s="100"/>
      <c r="E34" s="100"/>
      <c r="F34" s="100"/>
      <c r="G34" s="100"/>
      <c r="H34" s="100"/>
      <c r="I34" s="100"/>
      <c r="J34" s="100"/>
      <c r="K34" s="100"/>
      <c r="L34" s="100"/>
      <c r="M34" s="497"/>
      <c r="N34" s="100"/>
      <c r="O34" s="100"/>
      <c r="P34" s="100"/>
      <c r="U34" s="473" t="s">
        <v>420</v>
      </c>
      <c r="V34" s="473"/>
      <c r="W34" s="474"/>
      <c r="X34" s="477" t="str">
        <f aca="false">IF(TITLE_DATE_PR_CHANGE="",IF(TITLE_DATE_PR="","",TITLE_DATE_PR),TITLE_DATE_PR_CHANGE)</f>
        <v/>
      </c>
      <c r="Y34" s="477"/>
      <c r="Z34" s="477"/>
      <c r="AA34" s="477"/>
      <c r="AB34" s="477"/>
      <c r="AC34" s="477"/>
      <c r="AD34" s="477"/>
      <c r="AE34" s="477"/>
      <c r="AF34" s="42"/>
      <c r="AG34" s="477" t="str">
        <f aca="false">IF(TITLE_DATE_PR_CHANGE="",IF(TITLE_DATE_PR="","",TITLE_DATE_PR),TITLE_DATE_PR_CHANGE)</f>
        <v/>
      </c>
      <c r="AH34" s="477"/>
      <c r="AI34" s="477"/>
      <c r="AJ34" s="477"/>
      <c r="AK34" s="477"/>
      <c r="AL34" s="477"/>
      <c r="AM34" s="477"/>
      <c r="AN34" s="477"/>
      <c r="AO34" s="42"/>
      <c r="AP34" s="42"/>
      <c r="AQ34" s="476"/>
      <c r="AR34" s="122"/>
      <c r="AS34" s="122"/>
      <c r="AT34" s="122"/>
      <c r="AU34" s="122"/>
      <c r="AV34" s="122"/>
      <c r="AW34" s="177" t="n">
        <v>0</v>
      </c>
    </row>
    <row r="35" s="177" customFormat="true" ht="18.75" hidden="true" customHeight="true" outlineLevel="0" collapsed="false">
      <c r="A35" s="100"/>
      <c r="B35" s="100"/>
      <c r="C35" s="100"/>
      <c r="D35" s="100"/>
      <c r="E35" s="100"/>
      <c r="F35" s="100"/>
      <c r="G35" s="100"/>
      <c r="H35" s="100"/>
      <c r="I35" s="100"/>
      <c r="J35" s="100"/>
      <c r="K35" s="100"/>
      <c r="L35" s="100"/>
      <c r="M35" s="497"/>
      <c r="N35" s="100"/>
      <c r="O35" s="100"/>
      <c r="P35" s="100"/>
      <c r="U35" s="473" t="s">
        <v>421</v>
      </c>
      <c r="V35" s="473"/>
      <c r="W35" s="474"/>
      <c r="X35" s="475" t="str">
        <f aca="false">IF(TITLE_NUMBER_PR_CHANGE="",IF(TITLE_NUMBER_PR="","",TITLE_NUMBER_PR),TITLE_NUMBER_PR_CHANGE)</f>
        <v/>
      </c>
      <c r="Y35" s="475"/>
      <c r="Z35" s="475"/>
      <c r="AA35" s="475"/>
      <c r="AB35" s="475"/>
      <c r="AC35" s="475"/>
      <c r="AD35" s="475"/>
      <c r="AE35" s="475"/>
      <c r="AF35" s="42"/>
      <c r="AG35" s="475" t="str">
        <f aca="false">IF(TITLE_NUMBER_PR_CHANGE="",IF(TITLE_NUMBER_PR="","",TITLE_NUMBER_PR),TITLE_NUMBER_PR_CHANGE)</f>
        <v/>
      </c>
      <c r="AH35" s="475"/>
      <c r="AI35" s="475"/>
      <c r="AJ35" s="475"/>
      <c r="AK35" s="475"/>
      <c r="AL35" s="475"/>
      <c r="AM35" s="475"/>
      <c r="AN35" s="475"/>
      <c r="AO35" s="42"/>
      <c r="AP35" s="42"/>
      <c r="AQ35" s="476"/>
      <c r="AR35" s="122"/>
      <c r="AS35" s="122"/>
      <c r="AT35" s="122"/>
      <c r="AU35" s="122"/>
      <c r="AV35" s="122"/>
      <c r="AW35" s="177" t="n">
        <v>0</v>
      </c>
    </row>
    <row r="36" s="177" customFormat="true" ht="18.75" hidden="true" customHeight="true" outlineLevel="0" collapsed="false">
      <c r="A36" s="100"/>
      <c r="B36" s="100"/>
      <c r="C36" s="100"/>
      <c r="D36" s="100"/>
      <c r="E36" s="100"/>
      <c r="F36" s="100"/>
      <c r="G36" s="100"/>
      <c r="H36" s="100"/>
      <c r="I36" s="100"/>
      <c r="J36" s="100"/>
      <c r="K36" s="100"/>
      <c r="L36" s="100"/>
      <c r="M36" s="497"/>
      <c r="N36" s="100"/>
      <c r="O36" s="100"/>
      <c r="P36" s="100"/>
      <c r="U36" s="473" t="s">
        <v>42</v>
      </c>
      <c r="V36" s="473"/>
      <c r="W36" s="474"/>
      <c r="X36" s="475" t="str">
        <f aca="false">IF(TITLE_IST_PUB_CHANGE="",IF(TITLE_IST_PUB="","",TITLE_IST_PUB),TITLE_IST_PUB_CHANGE)</f>
        <v/>
      </c>
      <c r="Y36" s="475"/>
      <c r="Z36" s="475"/>
      <c r="AA36" s="475"/>
      <c r="AB36" s="475"/>
      <c r="AC36" s="475"/>
      <c r="AD36" s="475"/>
      <c r="AE36" s="475"/>
      <c r="AF36" s="42"/>
      <c r="AG36" s="475" t="str">
        <f aca="false">IF(TITLE_IST_PUB_CHANGE="",IF(TITLE_IST_PUB="","",TITLE_IST_PUB),TITLE_IST_PUB_CHANGE)</f>
        <v/>
      </c>
      <c r="AH36" s="475"/>
      <c r="AI36" s="475"/>
      <c r="AJ36" s="475"/>
      <c r="AK36" s="475"/>
      <c r="AL36" s="475"/>
      <c r="AM36" s="475"/>
      <c r="AN36" s="475"/>
      <c r="AO36" s="42"/>
      <c r="AP36" s="42"/>
      <c r="AQ36" s="476"/>
      <c r="AR36" s="122"/>
      <c r="AS36" s="122"/>
      <c r="AT36" s="122"/>
      <c r="AU36" s="122"/>
      <c r="AV36" s="122"/>
      <c r="AW36" s="177" t="n">
        <v>0</v>
      </c>
    </row>
    <row r="37" customFormat="false" ht="14.25" hidden="true" customHeight="true" outlineLevel="0" collapsed="false">
      <c r="R37" s="470"/>
      <c r="S37" s="470"/>
      <c r="T37" s="470"/>
      <c r="U37" s="471"/>
      <c r="V37" s="83"/>
      <c r="W37" s="83"/>
      <c r="X37" s="472"/>
      <c r="Y37" s="472"/>
      <c r="Z37" s="472"/>
      <c r="AA37" s="472"/>
      <c r="AB37" s="472"/>
      <c r="AC37" s="472"/>
      <c r="AD37" s="472"/>
      <c r="AE37" s="472"/>
      <c r="AF37" s="472"/>
      <c r="AG37" s="472"/>
      <c r="AH37" s="472"/>
      <c r="AI37" s="472"/>
      <c r="AJ37" s="472"/>
      <c r="AK37" s="472"/>
      <c r="AL37" s="472"/>
      <c r="AM37" s="472"/>
      <c r="AN37" s="472"/>
      <c r="AO37" s="472"/>
      <c r="AW37" s="42" t="n">
        <v>0</v>
      </c>
    </row>
    <row r="38" s="177" customFormat="true" ht="18.75" hidden="true" customHeight="true" outlineLevel="0" collapsed="false">
      <c r="A38" s="100"/>
      <c r="B38" s="100"/>
      <c r="C38" s="100"/>
      <c r="D38" s="100"/>
      <c r="E38" s="100"/>
      <c r="F38" s="100"/>
      <c r="G38" s="100"/>
      <c r="H38" s="100"/>
      <c r="I38" s="100"/>
      <c r="J38" s="100"/>
      <c r="K38" s="100"/>
      <c r="L38" s="100"/>
      <c r="M38" s="497"/>
      <c r="N38" s="100"/>
      <c r="O38" s="100"/>
      <c r="P38" s="100"/>
      <c r="U38" s="473" t="s">
        <v>422</v>
      </c>
      <c r="V38" s="473"/>
      <c r="W38" s="474"/>
      <c r="X38" s="477" t="str">
        <f aca="false">IF(TITLE_DATE_PR_CHANGE="",IF(TITLE_DATE_PR="","",TITLE_DATE_PR),TITLE_DATE_PR_CHANGE)</f>
        <v/>
      </c>
      <c r="Y38" s="477"/>
      <c r="Z38" s="477"/>
      <c r="AA38" s="477"/>
      <c r="AB38" s="477"/>
      <c r="AC38" s="477"/>
      <c r="AD38" s="477"/>
      <c r="AE38" s="477"/>
      <c r="AF38" s="42"/>
      <c r="AG38" s="477" t="str">
        <f aca="false">IF(TITLE_DATE_PR_CHANGE="",IF(TITLE_DATE_PR="","",TITLE_DATE_PR),TITLE_DATE_PR_CHANGE)</f>
        <v/>
      </c>
      <c r="AH38" s="477"/>
      <c r="AI38" s="477"/>
      <c r="AJ38" s="477"/>
      <c r="AK38" s="477"/>
      <c r="AL38" s="477"/>
      <c r="AM38" s="477"/>
      <c r="AN38" s="477"/>
      <c r="AO38" s="42"/>
      <c r="AP38" s="42"/>
      <c r="AQ38" s="476"/>
      <c r="AR38" s="122"/>
      <c r="AS38" s="122"/>
      <c r="AT38" s="122"/>
      <c r="AU38" s="122"/>
      <c r="AV38" s="122"/>
      <c r="AW38" s="177" t="n">
        <v>0</v>
      </c>
    </row>
    <row r="39" s="177" customFormat="true" ht="18.75" hidden="true" customHeight="true" outlineLevel="0" collapsed="false">
      <c r="A39" s="100"/>
      <c r="B39" s="100"/>
      <c r="C39" s="100"/>
      <c r="D39" s="100"/>
      <c r="E39" s="100"/>
      <c r="F39" s="100"/>
      <c r="G39" s="100"/>
      <c r="H39" s="100"/>
      <c r="I39" s="100"/>
      <c r="J39" s="100"/>
      <c r="K39" s="100"/>
      <c r="L39" s="100"/>
      <c r="M39" s="497"/>
      <c r="N39" s="100"/>
      <c r="O39" s="100"/>
      <c r="P39" s="100"/>
      <c r="U39" s="473" t="s">
        <v>423</v>
      </c>
      <c r="V39" s="473"/>
      <c r="W39" s="474"/>
      <c r="X39" s="475" t="str">
        <f aca="false">IF(TITLE_NUMBER_PR_CHANGE="",IF(TITLE_NUMBER_PR="","",TITLE_NUMBER_PR),TITLE_NUMBER_PR_CHANGE)</f>
        <v/>
      </c>
      <c r="Y39" s="475"/>
      <c r="Z39" s="475"/>
      <c r="AA39" s="475"/>
      <c r="AB39" s="475"/>
      <c r="AC39" s="475"/>
      <c r="AD39" s="475"/>
      <c r="AE39" s="475"/>
      <c r="AF39" s="42"/>
      <c r="AG39" s="475" t="str">
        <f aca="false">IF(TITLE_NUMBER_PR_CHANGE="",IF(TITLE_NUMBER_PR="","",TITLE_NUMBER_PR),TITLE_NUMBER_PR_CHANGE)</f>
        <v/>
      </c>
      <c r="AH39" s="475"/>
      <c r="AI39" s="475"/>
      <c r="AJ39" s="475"/>
      <c r="AK39" s="475"/>
      <c r="AL39" s="475"/>
      <c r="AM39" s="475"/>
      <c r="AN39" s="475"/>
      <c r="AO39" s="42"/>
      <c r="AP39" s="42"/>
      <c r="AQ39" s="476"/>
      <c r="AR39" s="122"/>
      <c r="AS39" s="122"/>
      <c r="AT39" s="122"/>
      <c r="AU39" s="122"/>
      <c r="AV39" s="122"/>
      <c r="AW39" s="177" t="n">
        <v>0</v>
      </c>
    </row>
    <row r="40" s="177" customFormat="true" ht="14.35" hidden="false" customHeight="false" outlineLevel="0" collapsed="false">
      <c r="A40" s="100"/>
      <c r="B40" s="100"/>
      <c r="C40" s="100"/>
      <c r="D40" s="100"/>
      <c r="E40" s="100"/>
      <c r="F40" s="100"/>
      <c r="G40" s="100"/>
      <c r="H40" s="100"/>
      <c r="I40" s="100"/>
      <c r="J40" s="100"/>
      <c r="K40" s="100"/>
      <c r="L40" s="100"/>
      <c r="M40" s="497"/>
      <c r="N40" s="100"/>
      <c r="O40" s="100"/>
      <c r="P40" s="100"/>
      <c r="U40" s="42"/>
      <c r="V40" s="42"/>
      <c r="W40" s="132"/>
      <c r="X40" s="42"/>
      <c r="Y40" s="42"/>
      <c r="Z40" s="42"/>
      <c r="AA40" s="42"/>
      <c r="AB40" s="42"/>
      <c r="AC40" s="42"/>
      <c r="AD40" s="42"/>
      <c r="AE40" s="42"/>
      <c r="AF40" s="49" t="s">
        <v>424</v>
      </c>
      <c r="AG40" s="42"/>
      <c r="AH40" s="42"/>
      <c r="AI40" s="42"/>
      <c r="AJ40" s="42"/>
      <c r="AK40" s="42"/>
      <c r="AL40" s="42"/>
      <c r="AM40" s="42"/>
      <c r="AN40" s="42"/>
      <c r="AO40" s="49" t="s">
        <v>424</v>
      </c>
      <c r="AR40" s="122"/>
      <c r="AS40" s="122"/>
      <c r="AT40" s="122"/>
      <c r="AU40" s="122"/>
      <c r="AV40" s="122"/>
      <c r="AW40" s="177" t="n">
        <v>0</v>
      </c>
    </row>
    <row r="41" customFormat="false" ht="14.25" hidden="false" customHeight="true" outlineLevel="0" collapsed="false">
      <c r="R41" s="470"/>
      <c r="S41" s="470"/>
      <c r="T41" s="470"/>
      <c r="U41" s="471"/>
      <c r="V41" s="83"/>
      <c r="W41" s="478"/>
      <c r="X41" s="479"/>
      <c r="Y41" s="479"/>
      <c r="Z41" s="479"/>
      <c r="AA41" s="479"/>
      <c r="AB41" s="479"/>
      <c r="AC41" s="479"/>
      <c r="AD41" s="479"/>
      <c r="AE41" s="479"/>
      <c r="AF41" s="479"/>
      <c r="AG41" s="479"/>
      <c r="AH41" s="479"/>
      <c r="AI41" s="479"/>
      <c r="AJ41" s="479"/>
      <c r="AK41" s="479"/>
      <c r="AL41" s="479"/>
      <c r="AM41" s="479"/>
      <c r="AN41" s="479"/>
      <c r="AO41" s="479"/>
      <c r="AW41" s="42" t="n">
        <v>14</v>
      </c>
    </row>
    <row r="42" customFormat="false" ht="14.25" hidden="false" customHeight="true" outlineLevel="0" collapsed="false">
      <c r="R42" s="470"/>
      <c r="S42" s="470"/>
      <c r="T42" s="470"/>
      <c r="U42" s="138" t="s">
        <v>297</v>
      </c>
      <c r="V42" s="138"/>
      <c r="W42" s="138"/>
      <c r="X42" s="138"/>
      <c r="Y42" s="138"/>
      <c r="Z42" s="138"/>
      <c r="AA42" s="138"/>
      <c r="AB42" s="138"/>
      <c r="AC42" s="138"/>
      <c r="AD42" s="138"/>
      <c r="AE42" s="138"/>
      <c r="AF42" s="138"/>
      <c r="AG42" s="138"/>
      <c r="AH42" s="138"/>
      <c r="AI42" s="138"/>
      <c r="AJ42" s="138"/>
      <c r="AK42" s="138"/>
      <c r="AL42" s="138"/>
      <c r="AM42" s="138"/>
      <c r="AN42" s="138"/>
      <c r="AO42" s="138"/>
      <c r="AP42" s="138"/>
      <c r="AQ42" s="150" t="s">
        <v>298</v>
      </c>
      <c r="AW42" s="42" t="n">
        <v>14</v>
      </c>
    </row>
    <row r="43" customFormat="false" ht="14.25" hidden="false" customHeight="true" outlineLevel="0" collapsed="false">
      <c r="R43" s="470"/>
      <c r="S43" s="470"/>
      <c r="T43" s="470"/>
      <c r="U43" s="480" t="s">
        <v>86</v>
      </c>
      <c r="V43" s="395" t="s">
        <v>425</v>
      </c>
      <c r="W43" s="481"/>
      <c r="X43" s="294" t="s">
        <v>426</v>
      </c>
      <c r="Y43" s="294"/>
      <c r="Z43" s="294"/>
      <c r="AA43" s="294"/>
      <c r="AB43" s="294"/>
      <c r="AC43" s="294"/>
      <c r="AD43" s="294"/>
      <c r="AE43" s="294"/>
      <c r="AF43" s="395" t="s">
        <v>427</v>
      </c>
      <c r="AG43" s="294" t="s">
        <v>426</v>
      </c>
      <c r="AH43" s="294"/>
      <c r="AI43" s="294"/>
      <c r="AJ43" s="294"/>
      <c r="AK43" s="294"/>
      <c r="AL43" s="294"/>
      <c r="AM43" s="294"/>
      <c r="AN43" s="294"/>
      <c r="AO43" s="395" t="s">
        <v>428</v>
      </c>
      <c r="AP43" s="482" t="s">
        <v>429</v>
      </c>
      <c r="AQ43" s="150"/>
      <c r="AW43" s="42" t="n">
        <v>14</v>
      </c>
    </row>
    <row r="44" customFormat="false" ht="35.25" hidden="false" customHeight="true" outlineLevel="0" collapsed="false">
      <c r="R44" s="470"/>
      <c r="S44" s="470"/>
      <c r="T44" s="470"/>
      <c r="U44" s="480"/>
      <c r="V44" s="395"/>
      <c r="W44" s="483"/>
      <c r="X44" s="505" t="s">
        <v>452</v>
      </c>
      <c r="Y44" s="138" t="s">
        <v>453</v>
      </c>
      <c r="Z44" s="138"/>
      <c r="AA44" s="138"/>
      <c r="AB44" s="138"/>
      <c r="AC44" s="138" t="s">
        <v>433</v>
      </c>
      <c r="AD44" s="138"/>
      <c r="AE44" s="138"/>
      <c r="AF44" s="395"/>
      <c r="AG44" s="505" t="s">
        <v>452</v>
      </c>
      <c r="AH44" s="138" t="s">
        <v>453</v>
      </c>
      <c r="AI44" s="138"/>
      <c r="AJ44" s="138"/>
      <c r="AK44" s="138"/>
      <c r="AL44" s="138" t="s">
        <v>433</v>
      </c>
      <c r="AM44" s="138"/>
      <c r="AN44" s="138"/>
      <c r="AO44" s="395"/>
      <c r="AP44" s="482"/>
      <c r="AQ44" s="150"/>
      <c r="AW44" s="42" t="n">
        <v>34</v>
      </c>
    </row>
    <row r="45" customFormat="false" ht="14.25" hidden="false" customHeight="true" outlineLevel="0" collapsed="false">
      <c r="R45" s="470"/>
      <c r="S45" s="470"/>
      <c r="T45" s="470"/>
      <c r="U45" s="480"/>
      <c r="V45" s="395"/>
      <c r="W45" s="483"/>
      <c r="X45" s="505"/>
      <c r="Y45" s="220" t="s">
        <v>454</v>
      </c>
      <c r="Z45" s="220" t="s">
        <v>455</v>
      </c>
      <c r="AA45" s="220"/>
      <c r="AB45" s="220"/>
      <c r="AC45" s="138"/>
      <c r="AD45" s="138"/>
      <c r="AE45" s="138"/>
      <c r="AF45" s="395"/>
      <c r="AG45" s="505"/>
      <c r="AH45" s="220" t="s">
        <v>454</v>
      </c>
      <c r="AI45" s="220" t="s">
        <v>455</v>
      </c>
      <c r="AJ45" s="220"/>
      <c r="AK45" s="220"/>
      <c r="AL45" s="138"/>
      <c r="AM45" s="138"/>
      <c r="AN45" s="138"/>
      <c r="AO45" s="395"/>
      <c r="AP45" s="482"/>
      <c r="AQ45" s="150"/>
      <c r="AW45" s="42" t="n">
        <v>14</v>
      </c>
    </row>
    <row r="46" customFormat="false" ht="27" hidden="false" customHeight="true" outlineLevel="0" collapsed="false">
      <c r="R46" s="470"/>
      <c r="S46" s="470"/>
      <c r="T46" s="470"/>
      <c r="U46" s="480"/>
      <c r="V46" s="395"/>
      <c r="W46" s="483"/>
      <c r="X46" s="505"/>
      <c r="Y46" s="220"/>
      <c r="Z46" s="358" t="s">
        <v>456</v>
      </c>
      <c r="AA46" s="220" t="s">
        <v>457</v>
      </c>
      <c r="AB46" s="220"/>
      <c r="AC46" s="358" t="s">
        <v>443</v>
      </c>
      <c r="AD46" s="220" t="s">
        <v>444</v>
      </c>
      <c r="AE46" s="220"/>
      <c r="AF46" s="395"/>
      <c r="AG46" s="505"/>
      <c r="AH46" s="220"/>
      <c r="AI46" s="358" t="s">
        <v>456</v>
      </c>
      <c r="AJ46" s="220" t="s">
        <v>457</v>
      </c>
      <c r="AK46" s="220"/>
      <c r="AL46" s="358" t="s">
        <v>443</v>
      </c>
      <c r="AM46" s="220" t="s">
        <v>444</v>
      </c>
      <c r="AN46" s="220"/>
      <c r="AO46" s="395"/>
      <c r="AP46" s="482"/>
      <c r="AQ46" s="150"/>
      <c r="AW46" s="42" t="n">
        <v>26</v>
      </c>
    </row>
    <row r="47" customFormat="false" ht="65.25" hidden="false" customHeight="true" outlineLevel="0" collapsed="false">
      <c r="A47" s="100"/>
      <c r="B47" s="100" t="s">
        <v>134</v>
      </c>
      <c r="C47" s="100" t="s">
        <v>135</v>
      </c>
      <c r="D47" s="100" t="s">
        <v>136</v>
      </c>
      <c r="E47" s="497" t="s">
        <v>434</v>
      </c>
      <c r="F47" s="497" t="s">
        <v>435</v>
      </c>
      <c r="G47" s="497" t="s">
        <v>436</v>
      </c>
      <c r="H47" s="497" t="s">
        <v>437</v>
      </c>
      <c r="I47" s="497" t="s">
        <v>438</v>
      </c>
      <c r="J47" s="497" t="s">
        <v>439</v>
      </c>
      <c r="K47" s="497" t="s">
        <v>440</v>
      </c>
      <c r="L47" s="497" t="s">
        <v>458</v>
      </c>
      <c r="M47" s="497" t="s">
        <v>415</v>
      </c>
      <c r="R47" s="470"/>
      <c r="S47" s="470"/>
      <c r="T47" s="470"/>
      <c r="U47" s="480"/>
      <c r="V47" s="395"/>
      <c r="W47" s="485"/>
      <c r="X47" s="505"/>
      <c r="Y47" s="220"/>
      <c r="Z47" s="220"/>
      <c r="AA47" s="220" t="s">
        <v>459</v>
      </c>
      <c r="AB47" s="220" t="s">
        <v>460</v>
      </c>
      <c r="AC47" s="358"/>
      <c r="AD47" s="220"/>
      <c r="AE47" s="220"/>
      <c r="AF47" s="395"/>
      <c r="AG47" s="505"/>
      <c r="AH47" s="220"/>
      <c r="AI47" s="220"/>
      <c r="AJ47" s="220" t="s">
        <v>459</v>
      </c>
      <c r="AK47" s="220" t="s">
        <v>460</v>
      </c>
      <c r="AL47" s="358"/>
      <c r="AM47" s="220"/>
      <c r="AN47" s="220"/>
      <c r="AO47" s="395"/>
      <c r="AP47" s="482"/>
      <c r="AQ47" s="150"/>
      <c r="AW47" s="42" t="n">
        <v>62</v>
      </c>
    </row>
    <row r="48" s="124" customFormat="true" ht="11.25" hidden="true" customHeight="true" outlineLevel="0" collapsed="false">
      <c r="A48" s="100"/>
      <c r="B48" s="100"/>
      <c r="C48" s="100"/>
      <c r="D48" s="100"/>
      <c r="E48" s="100"/>
      <c r="F48" s="100"/>
      <c r="G48" s="100"/>
      <c r="H48" s="100"/>
      <c r="I48" s="100"/>
      <c r="J48" s="100"/>
      <c r="K48" s="100"/>
      <c r="L48" s="100"/>
      <c r="M48" s="497"/>
      <c r="N48" s="52"/>
      <c r="O48" s="52"/>
      <c r="P48" s="52"/>
      <c r="Q48" s="486"/>
      <c r="R48" s="487"/>
      <c r="S48" s="488" t="n">
        <v>1</v>
      </c>
      <c r="T48" s="488"/>
      <c r="U48" s="489" t="s">
        <v>107</v>
      </c>
      <c r="V48" s="490" t="s">
        <v>108</v>
      </c>
      <c r="W48" s="491" t="str">
        <f aca="true">OFFSET(W48,0,-1)</f>
        <v>2</v>
      </c>
      <c r="X48" s="492" t="n">
        <f aca="true">OFFSET(X48,0,-1)+1</f>
        <v>3</v>
      </c>
      <c r="Y48" s="367"/>
      <c r="Z48" s="367"/>
      <c r="AA48" s="367" t="n">
        <f aca="true">OFFSET(AA48,0,-1)+1</f>
        <v>1</v>
      </c>
      <c r="AB48" s="367" t="n">
        <f aca="true">OFFSET(AB48,0,-1)+1</f>
        <v>2</v>
      </c>
      <c r="AC48" s="492" t="n">
        <f aca="true">OFFSET(AC48,0,-1)+1</f>
        <v>3</v>
      </c>
      <c r="AD48" s="492" t="n">
        <f aca="true">OFFSET(AD48,0,-1)+1</f>
        <v>4</v>
      </c>
      <c r="AE48" s="492"/>
      <c r="AF48" s="492" t="n">
        <f aca="true">OFFSET(AF48,0,-2)+1</f>
        <v>5</v>
      </c>
      <c r="AG48" s="492" t="n">
        <f aca="true">OFFSET(AG48,0,-1)+1</f>
        <v>6</v>
      </c>
      <c r="AH48" s="492"/>
      <c r="AI48" s="492"/>
      <c r="AJ48" s="492" t="n">
        <f aca="true">OFFSET(AJ48,0,-1)+1</f>
        <v>1</v>
      </c>
      <c r="AK48" s="492" t="n">
        <f aca="true">OFFSET(AK48,0,-1)+1</f>
        <v>2</v>
      </c>
      <c r="AL48" s="492" t="n">
        <f aca="true">OFFSET(AL48,0,-1)+1</f>
        <v>3</v>
      </c>
      <c r="AM48" s="492" t="n">
        <f aca="true">OFFSET(AM48,0,-1)+1</f>
        <v>4</v>
      </c>
      <c r="AN48" s="492"/>
      <c r="AO48" s="492" t="n">
        <f aca="true">OFFSET(AO48,0,-2)+1</f>
        <v>5</v>
      </c>
      <c r="AP48" s="491" t="n">
        <f aca="true">OFFSET(AP48,0,-1)</f>
        <v>5</v>
      </c>
      <c r="AQ48" s="492" t="n">
        <f aca="true">OFFSET(AQ48,0,-1)+1</f>
        <v>6</v>
      </c>
      <c r="AR48" s="49"/>
      <c r="AS48" s="49"/>
      <c r="AT48" s="49"/>
      <c r="AU48" s="49"/>
      <c r="AV48" s="49"/>
      <c r="AW48" s="124" t="n">
        <v>0</v>
      </c>
    </row>
    <row r="49" customFormat="false" ht="21.75" hidden="false" customHeight="true" outlineLevel="0" collapsed="false">
      <c r="A49" s="238" t="s">
        <v>173</v>
      </c>
      <c r="B49" s="238"/>
      <c r="C49" s="238"/>
      <c r="D49" s="238"/>
      <c r="E49" s="496" t="n">
        <v>1</v>
      </c>
      <c r="F49" s="238"/>
      <c r="G49" s="238"/>
      <c r="H49" s="238"/>
      <c r="I49" s="238"/>
      <c r="J49" s="238"/>
      <c r="K49" s="238"/>
      <c r="L49" s="238"/>
      <c r="M49" s="497"/>
      <c r="N49" s="77"/>
      <c r="O49" s="77"/>
      <c r="P49" s="77"/>
      <c r="R49" s="136"/>
      <c r="S49" s="136"/>
      <c r="T49" s="421"/>
      <c r="U49" s="422" t="n">
        <f aca="false">INDEX(PT_DIFFERENTIATION_NUM_NTAR,MATCH(A49,PT_DIFFERENTIATION_NTAR_ID,0))</f>
        <v>0</v>
      </c>
      <c r="V49" s="423" t="s">
        <v>122</v>
      </c>
      <c r="W49" s="424"/>
      <c r="X49" s="426"/>
      <c r="Y49" s="426"/>
      <c r="Z49" s="426"/>
      <c r="AA49" s="426"/>
      <c r="AB49" s="426"/>
      <c r="AC49" s="426"/>
      <c r="AD49" s="426"/>
      <c r="AE49" s="426"/>
      <c r="AF49" s="426"/>
      <c r="AG49" s="426" t="str">
        <f aca="false">INDEX(PT_DIFFERENTIATION_NTAR,MATCH(A49,PT_DIFFERENTIATION_NTAR_ID,0))</f>
        <v/>
      </c>
      <c r="AH49" s="426"/>
      <c r="AI49" s="426"/>
      <c r="AJ49" s="426"/>
      <c r="AK49" s="426"/>
      <c r="AL49" s="426"/>
      <c r="AM49" s="426"/>
      <c r="AN49" s="426"/>
      <c r="AO49" s="426"/>
      <c r="AP49" s="426"/>
      <c r="AQ49" s="427"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2"/>
      <c r="AT49" s="122" t="str">
        <f aca="false">IF(V49="","",V49)</f>
        <v>Наименование тарифа</v>
      </c>
      <c r="AU49" s="122"/>
      <c r="AV49" s="122"/>
      <c r="AW49" s="42" t="n">
        <v>21</v>
      </c>
    </row>
    <row r="50" customFormat="false" ht="21.75" hidden="false" customHeight="true" outlineLevel="0" collapsed="false">
      <c r="A50" s="238" t="s">
        <v>173</v>
      </c>
      <c r="B50" s="238" t="s">
        <v>174</v>
      </c>
      <c r="C50" s="238"/>
      <c r="D50" s="238"/>
      <c r="E50" s="496"/>
      <c r="F50" s="496" t="n">
        <v>1</v>
      </c>
      <c r="G50" s="238"/>
      <c r="H50" s="238"/>
      <c r="I50" s="238"/>
      <c r="J50" s="238"/>
      <c r="K50" s="238"/>
      <c r="L50" s="238"/>
      <c r="M50" s="497"/>
      <c r="N50" s="77"/>
      <c r="O50" s="77"/>
      <c r="P50" s="77"/>
      <c r="Q50" s="43"/>
      <c r="R50" s="428"/>
      <c r="S50" s="42"/>
      <c r="T50" s="429"/>
      <c r="U50" s="422" t="str">
        <f aca="false">INDEX(PT_DIFFERENTIATION_NUM_TER,MATCH(B50,PT_DIFFERENTIATION_TER_ID,0))</f>
        <v>.</v>
      </c>
      <c r="V50" s="430" t="s">
        <v>394</v>
      </c>
      <c r="W50" s="424"/>
      <c r="X50" s="426"/>
      <c r="Y50" s="426"/>
      <c r="Z50" s="426"/>
      <c r="AA50" s="426"/>
      <c r="AB50" s="426"/>
      <c r="AC50" s="426"/>
      <c r="AD50" s="426"/>
      <c r="AE50" s="426"/>
      <c r="AF50" s="426"/>
      <c r="AG50" s="426" t="str">
        <f aca="false">INDEX(PT_DIFFERENTIATION_TER,MATCH(B50,PT_DIFFERENTIATION_TER_ID,0))</f>
        <v/>
      </c>
      <c r="AH50" s="426"/>
      <c r="AI50" s="426"/>
      <c r="AJ50" s="426"/>
      <c r="AK50" s="426"/>
      <c r="AL50" s="426"/>
      <c r="AM50" s="426"/>
      <c r="AN50" s="426"/>
      <c r="AO50" s="426"/>
      <c r="AP50" s="426"/>
      <c r="AQ50" s="427" t="s">
        <v>395</v>
      </c>
      <c r="AS50" s="122"/>
      <c r="AT50" s="122" t="str">
        <f aca="false">IF(V50="","",V50)</f>
        <v>Территория действия тарифа</v>
      </c>
      <c r="AU50" s="122"/>
      <c r="AV50" s="122"/>
      <c r="AW50" s="42" t="n">
        <v>21</v>
      </c>
    </row>
    <row r="51" customFormat="false" ht="24" hidden="false" customHeight="true" outlineLevel="0" collapsed="false">
      <c r="A51" s="238" t="s">
        <v>173</v>
      </c>
      <c r="B51" s="238" t="s">
        <v>174</v>
      </c>
      <c r="C51" s="238" t="s">
        <v>175</v>
      </c>
      <c r="D51" s="238"/>
      <c r="E51" s="496"/>
      <c r="F51" s="496"/>
      <c r="G51" s="496" t="n">
        <v>1</v>
      </c>
      <c r="H51" s="238"/>
      <c r="I51" s="238"/>
      <c r="J51" s="238"/>
      <c r="K51" s="238"/>
      <c r="L51" s="238"/>
      <c r="M51" s="497"/>
      <c r="N51" s="77"/>
      <c r="O51" s="77"/>
      <c r="P51" s="77"/>
      <c r="Q51" s="431"/>
      <c r="R51" s="428"/>
      <c r="S51" s="42"/>
      <c r="T51" s="429"/>
      <c r="U51" s="422" t="str">
        <f aca="false">INDEX(PT_DIFFERENTIATION_NUM_CS,MATCH(C51,PT_DIFFERENTIATION_CS_ID,0))</f>
        <v>..</v>
      </c>
      <c r="V51" s="432" t="s">
        <v>396</v>
      </c>
      <c r="W51" s="424"/>
      <c r="X51" s="426"/>
      <c r="Y51" s="426"/>
      <c r="Z51" s="426"/>
      <c r="AA51" s="426"/>
      <c r="AB51" s="426"/>
      <c r="AC51" s="426"/>
      <c r="AD51" s="426"/>
      <c r="AE51" s="426"/>
      <c r="AF51" s="426"/>
      <c r="AG51" s="426" t="str">
        <f aca="false">INDEX(PT_DIFFERENTIATION_CS,MATCH(C51,PT_DIFFERENTIATION_CS_ID,0))</f>
        <v/>
      </c>
      <c r="AH51" s="426"/>
      <c r="AI51" s="426"/>
      <c r="AJ51" s="426"/>
      <c r="AK51" s="426"/>
      <c r="AL51" s="426"/>
      <c r="AM51" s="426"/>
      <c r="AN51" s="426"/>
      <c r="AO51" s="426"/>
      <c r="AP51" s="426"/>
      <c r="AQ51" s="427" t="s">
        <v>397</v>
      </c>
      <c r="AS51" s="122"/>
      <c r="AT51" s="122" t="str">
        <f aca="false">IF(V51="","",V51)</f>
        <v>Наименование системы теплоснабжения </v>
      </c>
      <c r="AU51" s="122"/>
      <c r="AV51" s="122"/>
      <c r="AW51" s="42" t="n">
        <v>23</v>
      </c>
    </row>
    <row r="52" customFormat="false" ht="21.75" hidden="false" customHeight="true" outlineLevel="0" collapsed="false">
      <c r="A52" s="238" t="s">
        <v>173</v>
      </c>
      <c r="B52" s="238" t="s">
        <v>174</v>
      </c>
      <c r="C52" s="238" t="s">
        <v>175</v>
      </c>
      <c r="D52" s="238" t="s">
        <v>176</v>
      </c>
      <c r="E52" s="496"/>
      <c r="F52" s="496"/>
      <c r="G52" s="496"/>
      <c r="H52" s="496" t="n">
        <v>1</v>
      </c>
      <c r="I52" s="238"/>
      <c r="J52" s="238"/>
      <c r="K52" s="238"/>
      <c r="L52" s="238"/>
      <c r="M52" s="497"/>
      <c r="N52" s="77"/>
      <c r="O52" s="77"/>
      <c r="P52" s="77"/>
      <c r="Q52" s="431"/>
      <c r="R52" s="428"/>
      <c r="S52" s="42"/>
      <c r="T52" s="429"/>
      <c r="U52" s="422" t="str">
        <f aca="false">INDEX(PT_DIFFERENTIATION_NUM_IST_TE,MATCH(D52,PT_DIFFERENTIATION_IST_TE_ID,0))</f>
        <v>...</v>
      </c>
      <c r="V52" s="433" t="s">
        <v>398</v>
      </c>
      <c r="W52" s="424"/>
      <c r="X52" s="426"/>
      <c r="Y52" s="426"/>
      <c r="Z52" s="426"/>
      <c r="AA52" s="426"/>
      <c r="AB52" s="426"/>
      <c r="AC52" s="426"/>
      <c r="AD52" s="426"/>
      <c r="AE52" s="426"/>
      <c r="AF52" s="426"/>
      <c r="AG52" s="426" t="str">
        <f aca="false">INDEX(PT_DIFFERENTIATION_IST_TE,MATCH(D52,PT_DIFFERENTIATION_IST_TE_ID,0))</f>
        <v/>
      </c>
      <c r="AH52" s="426"/>
      <c r="AI52" s="426"/>
      <c r="AJ52" s="426"/>
      <c r="AK52" s="426"/>
      <c r="AL52" s="426"/>
      <c r="AM52" s="426"/>
      <c r="AN52" s="426"/>
      <c r="AO52" s="426"/>
      <c r="AP52" s="426"/>
      <c r="AQ52" s="427" t="s">
        <v>399</v>
      </c>
      <c r="AS52" s="122"/>
      <c r="AT52" s="122" t="str">
        <f aca="false">IF(V52="","",V52)</f>
        <v>Источник тепловой энергии  </v>
      </c>
      <c r="AU52" s="122"/>
      <c r="AV52" s="122"/>
      <c r="AW52" s="42" t="n">
        <v>21</v>
      </c>
    </row>
    <row r="53" s="49" customFormat="true" ht="14.35" hidden="false" customHeight="false" outlineLevel="0" collapsed="false">
      <c r="A53" s="498" t="s">
        <v>173</v>
      </c>
      <c r="B53" s="498" t="s">
        <v>174</v>
      </c>
      <c r="C53" s="498" t="s">
        <v>175</v>
      </c>
      <c r="D53" s="498" t="s">
        <v>176</v>
      </c>
      <c r="E53" s="496"/>
      <c r="F53" s="496"/>
      <c r="G53" s="496"/>
      <c r="H53" s="496"/>
      <c r="I53" s="150" t="str">
        <f aca="false">U52&amp;".1"</f>
        <v>....1</v>
      </c>
      <c r="J53" s="498"/>
      <c r="K53" s="498"/>
      <c r="L53" s="498"/>
      <c r="M53" s="499" t="s">
        <v>400</v>
      </c>
      <c r="N53" s="486"/>
      <c r="O53" s="486"/>
      <c r="P53" s="486"/>
      <c r="Q53" s="125" t="n">
        <v>1</v>
      </c>
      <c r="R53" s="125"/>
      <c r="S53" s="125"/>
      <c r="T53" s="435"/>
      <c r="U53" s="299"/>
      <c r="V53" s="507"/>
      <c r="W53" s="508"/>
      <c r="X53" s="509"/>
      <c r="Y53" s="509"/>
      <c r="Z53" s="509"/>
      <c r="AA53" s="509"/>
      <c r="AB53" s="509"/>
      <c r="AC53" s="509"/>
      <c r="AD53" s="509"/>
      <c r="AE53" s="509"/>
      <c r="AF53" s="509"/>
      <c r="AG53" s="509"/>
      <c r="AH53" s="509"/>
      <c r="AI53" s="509"/>
      <c r="AJ53" s="509"/>
      <c r="AK53" s="509"/>
      <c r="AL53" s="509"/>
      <c r="AM53" s="509"/>
      <c r="AN53" s="509"/>
      <c r="AO53" s="509"/>
      <c r="AP53" s="509"/>
      <c r="AQ53" s="510"/>
      <c r="AS53" s="122"/>
      <c r="AT53" s="122" t="str">
        <f aca="false">IF(V53="","",V53)</f>
        <v/>
      </c>
      <c r="AU53" s="122"/>
      <c r="AV53" s="122"/>
      <c r="AW53" s="49" t="n">
        <v>0</v>
      </c>
    </row>
    <row r="54" customFormat="false" ht="21.75" hidden="false" customHeight="true" outlineLevel="0" collapsed="false">
      <c r="A54" s="238" t="s">
        <v>173</v>
      </c>
      <c r="B54" s="238" t="s">
        <v>174</v>
      </c>
      <c r="C54" s="238" t="s">
        <v>175</v>
      </c>
      <c r="D54" s="238" t="s">
        <v>176</v>
      </c>
      <c r="E54" s="496"/>
      <c r="F54" s="496"/>
      <c r="G54" s="496"/>
      <c r="H54" s="496"/>
      <c r="I54" s="150"/>
      <c r="J54" s="150" t="str">
        <f aca="false">I53&amp;".1"</f>
        <v>....1.1</v>
      </c>
      <c r="K54" s="238"/>
      <c r="L54" s="238"/>
      <c r="M54" s="497" t="s">
        <v>403</v>
      </c>
      <c r="Q54" s="125"/>
      <c r="R54" s="125" t="n">
        <v>1</v>
      </c>
      <c r="S54" s="49"/>
      <c r="T54" s="438"/>
      <c r="U54" s="422" t="str">
        <f aca="false">$J54</f>
        <v>....1.1</v>
      </c>
      <c r="V54" s="439" t="s">
        <v>404</v>
      </c>
      <c r="W54" s="424"/>
      <c r="X54" s="437"/>
      <c r="Y54" s="437"/>
      <c r="Z54" s="437"/>
      <c r="AA54" s="437"/>
      <c r="AB54" s="437"/>
      <c r="AC54" s="437"/>
      <c r="AD54" s="437"/>
      <c r="AE54" s="437"/>
      <c r="AF54" s="437"/>
      <c r="AG54" s="437"/>
      <c r="AH54" s="437"/>
      <c r="AI54" s="437"/>
      <c r="AJ54" s="437"/>
      <c r="AK54" s="437"/>
      <c r="AL54" s="437"/>
      <c r="AM54" s="437"/>
      <c r="AN54" s="437"/>
      <c r="AO54" s="437"/>
      <c r="AP54" s="437"/>
      <c r="AQ54" s="427" t="s">
        <v>405</v>
      </c>
      <c r="AS54" s="122"/>
      <c r="AT54" s="122" t="str">
        <f aca="false">IF(V54="","",V54)</f>
        <v>Группа потребителей</v>
      </c>
      <c r="AU54" s="122"/>
      <c r="AV54" s="122"/>
      <c r="AW54" s="42" t="n">
        <v>21</v>
      </c>
    </row>
    <row r="55" customFormat="false" ht="21.75" hidden="false" customHeight="true" outlineLevel="0" collapsed="false">
      <c r="A55" s="238" t="s">
        <v>173</v>
      </c>
      <c r="B55" s="238" t="s">
        <v>174</v>
      </c>
      <c r="C55" s="238" t="s">
        <v>175</v>
      </c>
      <c r="D55" s="238" t="s">
        <v>176</v>
      </c>
      <c r="E55" s="496"/>
      <c r="F55" s="496"/>
      <c r="G55" s="496"/>
      <c r="H55" s="496"/>
      <c r="I55" s="150"/>
      <c r="J55" s="150"/>
      <c r="K55" s="138" t="str">
        <f aca="false">J54&amp;".1"</f>
        <v>....1.1.1</v>
      </c>
      <c r="L55" s="43"/>
      <c r="M55" s="497" t="s">
        <v>406</v>
      </c>
      <c r="Q55" s="125"/>
      <c r="R55" s="125"/>
      <c r="S55" s="49" t="n">
        <v>1</v>
      </c>
      <c r="T55" s="438"/>
      <c r="U55" s="422" t="str">
        <f aca="false">$K55</f>
        <v>....1.1.1</v>
      </c>
      <c r="V55" s="440"/>
      <c r="W55" s="424"/>
      <c r="X55" s="441"/>
      <c r="Y55" s="441"/>
      <c r="Z55" s="441"/>
      <c r="AA55" s="441"/>
      <c r="AB55" s="530"/>
      <c r="AC55" s="444"/>
      <c r="AD55" s="206" t="s">
        <v>64</v>
      </c>
      <c r="AE55" s="444"/>
      <c r="AF55" s="206" t="s">
        <v>64</v>
      </c>
      <c r="AG55" s="531"/>
      <c r="AH55" s="441"/>
      <c r="AI55" s="441"/>
      <c r="AJ55" s="441"/>
      <c r="AK55" s="443"/>
      <c r="AL55" s="444"/>
      <c r="AM55" s="206" t="s">
        <v>64</v>
      </c>
      <c r="AN55" s="444"/>
      <c r="AO55" s="206" t="s">
        <v>64</v>
      </c>
      <c r="AP55" s="493"/>
      <c r="AQ55" s="532" t="s">
        <v>449</v>
      </c>
      <c r="AR55" s="49" t="e">
        <f aca="false">strcheckdate(X57:AP57)</f>
        <v>#NAME?</v>
      </c>
      <c r="AS55" s="122"/>
      <c r="AT55" s="122" t="str">
        <f aca="false">IF(V55="","",V55)</f>
        <v/>
      </c>
      <c r="AU55" s="122"/>
      <c r="AV55" s="122"/>
      <c r="AW55" s="42" t="n">
        <v>21</v>
      </c>
    </row>
    <row r="56" customFormat="false" ht="11.25" hidden="false" customHeight="true" outlineLevel="0" collapsed="false">
      <c r="A56" s="238" t="s">
        <v>173</v>
      </c>
      <c r="B56" s="238" t="s">
        <v>174</v>
      </c>
      <c r="C56" s="238" t="s">
        <v>175</v>
      </c>
      <c r="D56" s="238" t="s">
        <v>176</v>
      </c>
      <c r="E56" s="496"/>
      <c r="F56" s="496"/>
      <c r="G56" s="496"/>
      <c r="H56" s="496"/>
      <c r="I56" s="150"/>
      <c r="J56" s="150"/>
      <c r="K56" s="150"/>
      <c r="L56" s="138" t="str">
        <f aca="false">K55&amp;".1"</f>
        <v>....1.1.1.1</v>
      </c>
      <c r="M56" s="497"/>
      <c r="Q56" s="125"/>
      <c r="R56" s="125"/>
      <c r="S56" s="49" t="n">
        <v>1</v>
      </c>
      <c r="T56" s="438"/>
      <c r="U56" s="422" t="str">
        <f aca="false">$L56</f>
        <v>....1.1.1.1</v>
      </c>
      <c r="V56" s="533"/>
      <c r="W56" s="424"/>
      <c r="X56" s="442"/>
      <c r="Y56" s="441"/>
      <c r="Z56" s="441"/>
      <c r="AA56" s="441"/>
      <c r="AB56" s="530"/>
      <c r="AC56" s="444"/>
      <c r="AD56" s="206"/>
      <c r="AE56" s="444"/>
      <c r="AF56" s="206"/>
      <c r="AG56" s="531"/>
      <c r="AH56" s="441"/>
      <c r="AI56" s="441"/>
      <c r="AJ56" s="441"/>
      <c r="AK56" s="443"/>
      <c r="AL56" s="444"/>
      <c r="AM56" s="206"/>
      <c r="AN56" s="444"/>
      <c r="AO56" s="206"/>
      <c r="AP56" s="493"/>
      <c r="AQ56" s="445" t="s">
        <v>450</v>
      </c>
      <c r="AR56" s="49" t="e">
        <f aca="false">strcheckdate(X58:AP58)</f>
        <v>#NAME?</v>
      </c>
      <c r="AS56" s="122"/>
      <c r="AT56" s="122" t="str">
        <f aca="false">IF(V56="","",V56)</f>
        <v/>
      </c>
      <c r="AU56" s="122"/>
      <c r="AV56" s="122"/>
      <c r="AW56" s="42" t="n">
        <v>11</v>
      </c>
    </row>
    <row r="57" customFormat="false" ht="14.35" hidden="false" customHeight="false" outlineLevel="0" collapsed="false">
      <c r="A57" s="238" t="s">
        <v>173</v>
      </c>
      <c r="B57" s="238" t="s">
        <v>174</v>
      </c>
      <c r="C57" s="238" t="s">
        <v>175</v>
      </c>
      <c r="D57" s="238" t="s">
        <v>176</v>
      </c>
      <c r="E57" s="496"/>
      <c r="F57" s="496"/>
      <c r="G57" s="496"/>
      <c r="H57" s="496"/>
      <c r="I57" s="150"/>
      <c r="J57" s="150"/>
      <c r="K57" s="150"/>
      <c r="L57" s="138"/>
      <c r="M57" s="497"/>
      <c r="Q57" s="125"/>
      <c r="R57" s="125"/>
      <c r="S57" s="49"/>
      <c r="T57" s="438"/>
      <c r="U57" s="397"/>
      <c r="V57" s="424"/>
      <c r="W57" s="424"/>
      <c r="X57" s="442"/>
      <c r="Y57" s="442"/>
      <c r="Z57" s="442"/>
      <c r="AA57" s="442"/>
      <c r="AB57" s="534" t="str">
        <f aca="false">AC55&amp;"-"&amp;AE55</f>
        <v>-</v>
      </c>
      <c r="AC57" s="444"/>
      <c r="AD57" s="206"/>
      <c r="AE57" s="444"/>
      <c r="AF57" s="206"/>
      <c r="AG57" s="535"/>
      <c r="AH57" s="442"/>
      <c r="AI57" s="442"/>
      <c r="AJ57" s="442"/>
      <c r="AK57" s="446" t="str">
        <f aca="false">AL55&amp;"-"&amp;AN55</f>
        <v>-</v>
      </c>
      <c r="AL57" s="444"/>
      <c r="AM57" s="206"/>
      <c r="AN57" s="444"/>
      <c r="AO57" s="206"/>
      <c r="AP57" s="494"/>
      <c r="AQ57" s="445"/>
      <c r="AS57" s="122"/>
      <c r="AT57" s="122" t="str">
        <f aca="false">IF(V57="","",V57)</f>
        <v/>
      </c>
      <c r="AU57" s="122"/>
      <c r="AV57" s="122"/>
      <c r="AW57" s="42" t="n">
        <v>0</v>
      </c>
    </row>
    <row r="58" customFormat="false" ht="11.25" hidden="false" customHeight="true" outlineLevel="0" collapsed="false">
      <c r="A58" s="238" t="s">
        <v>173</v>
      </c>
      <c r="B58" s="238" t="s">
        <v>174</v>
      </c>
      <c r="C58" s="238" t="s">
        <v>175</v>
      </c>
      <c r="D58" s="238" t="s">
        <v>176</v>
      </c>
      <c r="E58" s="496"/>
      <c r="F58" s="496"/>
      <c r="G58" s="496"/>
      <c r="H58" s="496"/>
      <c r="I58" s="150"/>
      <c r="J58" s="150"/>
      <c r="K58" s="138"/>
      <c r="L58" s="238"/>
      <c r="M58" s="497"/>
      <c r="Q58" s="125"/>
      <c r="R58" s="125"/>
      <c r="S58" s="125"/>
      <c r="T58" s="435"/>
      <c r="U58" s="447"/>
      <c r="V58" s="448" t="s">
        <v>451</v>
      </c>
      <c r="W58" s="196"/>
      <c r="X58" s="196"/>
      <c r="Y58" s="196"/>
      <c r="Z58" s="196"/>
      <c r="AA58" s="196"/>
      <c r="AB58" s="196"/>
      <c r="AC58" s="444"/>
      <c r="AD58" s="206"/>
      <c r="AE58" s="444"/>
      <c r="AF58" s="206"/>
      <c r="AG58" s="196"/>
      <c r="AH58" s="196"/>
      <c r="AI58" s="196"/>
      <c r="AJ58" s="196"/>
      <c r="AK58" s="196"/>
      <c r="AL58" s="444"/>
      <c r="AM58" s="206"/>
      <c r="AN58" s="444"/>
      <c r="AO58" s="206"/>
      <c r="AP58" s="449"/>
      <c r="AQ58" s="445"/>
      <c r="AS58" s="122"/>
      <c r="AT58" s="122" t="str">
        <f aca="false">IF(V58="","",V58)</f>
        <v>Добавить наименование поставщика</v>
      </c>
      <c r="AU58" s="122"/>
      <c r="AV58" s="122"/>
      <c r="AW58" s="42" t="n">
        <v>11</v>
      </c>
    </row>
    <row r="59" customFormat="false" ht="11.25" hidden="false" customHeight="true" outlineLevel="0" collapsed="false">
      <c r="A59" s="238" t="s">
        <v>173</v>
      </c>
      <c r="B59" s="238" t="s">
        <v>174</v>
      </c>
      <c r="C59" s="238" t="s">
        <v>175</v>
      </c>
      <c r="D59" s="238" t="s">
        <v>176</v>
      </c>
      <c r="E59" s="496"/>
      <c r="F59" s="496"/>
      <c r="G59" s="496"/>
      <c r="H59" s="496"/>
      <c r="I59" s="150"/>
      <c r="J59" s="150"/>
      <c r="K59" s="238"/>
      <c r="L59" s="238"/>
      <c r="M59" s="497"/>
      <c r="Q59" s="125"/>
      <c r="R59" s="125"/>
      <c r="S59" s="125"/>
      <c r="T59" s="435"/>
      <c r="U59" s="447"/>
      <c r="V59" s="450" t="s">
        <v>408</v>
      </c>
      <c r="W59" s="196"/>
      <c r="X59" s="196"/>
      <c r="Y59" s="196"/>
      <c r="Z59" s="196"/>
      <c r="AA59" s="196"/>
      <c r="AB59" s="196"/>
      <c r="AC59" s="540"/>
      <c r="AD59" s="540"/>
      <c r="AE59" s="540"/>
      <c r="AF59" s="540"/>
      <c r="AG59" s="196"/>
      <c r="AH59" s="196"/>
      <c r="AI59" s="196"/>
      <c r="AJ59" s="196"/>
      <c r="AK59" s="196"/>
      <c r="AL59" s="196"/>
      <c r="AM59" s="196"/>
      <c r="AN59" s="196"/>
      <c r="AO59" s="196"/>
      <c r="AP59" s="449"/>
      <c r="AQ59" s="445"/>
      <c r="AS59" s="122"/>
      <c r="AT59" s="122" t="str">
        <f aca="false">IF(V59="","",V59)</f>
        <v>Добавить вид теплоносителя (параметры теплоносителя)</v>
      </c>
      <c r="AU59" s="122"/>
      <c r="AV59" s="122"/>
      <c r="AW59" s="42" t="n">
        <v>11</v>
      </c>
    </row>
    <row r="60" customFormat="false" ht="11.25" hidden="false" customHeight="true" outlineLevel="0" collapsed="false">
      <c r="A60" s="238" t="s">
        <v>173</v>
      </c>
      <c r="B60" s="238" t="s">
        <v>174</v>
      </c>
      <c r="C60" s="238" t="s">
        <v>175</v>
      </c>
      <c r="D60" s="238" t="s">
        <v>176</v>
      </c>
      <c r="E60" s="496"/>
      <c r="F60" s="496"/>
      <c r="G60" s="496"/>
      <c r="H60" s="496"/>
      <c r="I60" s="150"/>
      <c r="J60" s="238"/>
      <c r="K60" s="238"/>
      <c r="L60" s="238"/>
      <c r="M60" s="497"/>
      <c r="Q60" s="125"/>
      <c r="R60" s="125"/>
      <c r="S60" s="125"/>
      <c r="T60" s="435"/>
      <c r="U60" s="447"/>
      <c r="V60" s="454" t="s">
        <v>409</v>
      </c>
      <c r="W60" s="196"/>
      <c r="X60" s="196"/>
      <c r="Y60" s="196"/>
      <c r="Z60" s="196"/>
      <c r="AA60" s="196"/>
      <c r="AB60" s="196"/>
      <c r="AC60" s="196"/>
      <c r="AD60" s="196"/>
      <c r="AE60" s="196"/>
      <c r="AF60" s="451"/>
      <c r="AG60" s="196"/>
      <c r="AH60" s="196"/>
      <c r="AI60" s="196"/>
      <c r="AJ60" s="196"/>
      <c r="AK60" s="196"/>
      <c r="AL60" s="196"/>
      <c r="AM60" s="196"/>
      <c r="AN60" s="196"/>
      <c r="AO60" s="451"/>
      <c r="AP60" s="196"/>
      <c r="AQ60" s="452"/>
      <c r="AS60" s="122"/>
      <c r="AT60" s="122" t="str">
        <f aca="false">IF(V60="","",V60)</f>
        <v>Добавить группу потребителей</v>
      </c>
      <c r="AU60" s="122"/>
      <c r="AV60" s="122"/>
      <c r="AW60" s="42" t="n">
        <v>11</v>
      </c>
    </row>
    <row r="61" customFormat="false" ht="14.35" hidden="false" customHeight="false" outlineLevel="0" collapsed="false">
      <c r="A61" s="238" t="s">
        <v>173</v>
      </c>
      <c r="B61" s="238" t="s">
        <v>174</v>
      </c>
      <c r="C61" s="238" t="s">
        <v>175</v>
      </c>
      <c r="D61" s="238" t="s">
        <v>176</v>
      </c>
      <c r="E61" s="496"/>
      <c r="F61" s="496"/>
      <c r="G61" s="496"/>
      <c r="H61" s="496"/>
      <c r="I61" s="238"/>
      <c r="J61" s="238"/>
      <c r="K61" s="238"/>
      <c r="L61" s="238"/>
      <c r="M61" s="497"/>
      <c r="N61" s="77"/>
      <c r="O61" s="77"/>
      <c r="P61" s="42"/>
      <c r="Q61" s="136"/>
      <c r="R61" s="453"/>
      <c r="S61" s="421"/>
      <c r="T61" s="136"/>
      <c r="U61" s="511"/>
      <c r="V61" s="512"/>
      <c r="W61" s="513"/>
      <c r="X61" s="513"/>
      <c r="Y61" s="513"/>
      <c r="Z61" s="513"/>
      <c r="AA61" s="513"/>
      <c r="AB61" s="513"/>
      <c r="AC61" s="513"/>
      <c r="AD61" s="513"/>
      <c r="AE61" s="513"/>
      <c r="AF61" s="513"/>
      <c r="AG61" s="513"/>
      <c r="AH61" s="513"/>
      <c r="AI61" s="513"/>
      <c r="AJ61" s="513"/>
      <c r="AK61" s="513"/>
      <c r="AL61" s="513"/>
      <c r="AM61" s="513"/>
      <c r="AN61" s="513"/>
      <c r="AO61" s="513"/>
      <c r="AP61" s="513"/>
      <c r="AQ61" s="514"/>
      <c r="AS61" s="122"/>
      <c r="AT61" s="122" t="str">
        <f aca="false">IF(V61="","",V61)</f>
        <v/>
      </c>
      <c r="AU61" s="122"/>
      <c r="AV61" s="122"/>
      <c r="AW61" s="42" t="n">
        <v>0</v>
      </c>
    </row>
    <row r="62" s="49" customFormat="true" ht="14.35" hidden="false" customHeight="false" outlineLevel="0" collapsed="false">
      <c r="A62" s="498" t="s">
        <v>173</v>
      </c>
      <c r="B62" s="498" t="s">
        <v>174</v>
      </c>
      <c r="C62" s="498" t="s">
        <v>175</v>
      </c>
      <c r="D62" s="498"/>
      <c r="E62" s="496"/>
      <c r="F62" s="496"/>
      <c r="G62" s="496"/>
      <c r="H62" s="498"/>
      <c r="I62" s="498"/>
      <c r="J62" s="498"/>
      <c r="K62" s="498"/>
      <c r="L62" s="498"/>
      <c r="M62" s="499"/>
      <c r="N62" s="500"/>
      <c r="O62" s="500"/>
      <c r="P62" s="124"/>
      <c r="Q62" s="160"/>
      <c r="R62" s="455"/>
      <c r="S62" s="160"/>
      <c r="T62" s="160"/>
      <c r="U62" s="460"/>
      <c r="V62" s="463" t="s">
        <v>411</v>
      </c>
      <c r="W62" s="462"/>
      <c r="X62" s="462"/>
      <c r="Y62" s="462"/>
      <c r="Z62" s="462"/>
      <c r="AA62" s="462"/>
      <c r="AB62" s="462"/>
      <c r="AC62" s="462"/>
      <c r="AD62" s="462"/>
      <c r="AE62" s="462"/>
      <c r="AF62" s="462"/>
      <c r="AG62" s="462"/>
      <c r="AH62" s="462"/>
      <c r="AI62" s="462"/>
      <c r="AJ62" s="462"/>
      <c r="AK62" s="462"/>
      <c r="AL62" s="462"/>
      <c r="AM62" s="462"/>
      <c r="AN62" s="462"/>
      <c r="AO62" s="462"/>
      <c r="AP62" s="462"/>
      <c r="AQ62" s="462"/>
      <c r="AS62" s="122"/>
      <c r="AT62" s="122" t="str">
        <f aca="false">IF(V62="","",V62)</f>
        <v>Добавить источник для дифференциации</v>
      </c>
      <c r="AU62" s="122"/>
      <c r="AV62" s="122"/>
      <c r="AW62" s="49" t="n">
        <v>0</v>
      </c>
    </row>
    <row r="63" s="49" customFormat="true" ht="14.35" hidden="false" customHeight="false" outlineLevel="0" collapsed="false">
      <c r="A63" s="498" t="s">
        <v>173</v>
      </c>
      <c r="B63" s="498" t="s">
        <v>174</v>
      </c>
      <c r="C63" s="498"/>
      <c r="D63" s="498"/>
      <c r="E63" s="496"/>
      <c r="F63" s="496"/>
      <c r="G63" s="498"/>
      <c r="H63" s="498"/>
      <c r="I63" s="498"/>
      <c r="J63" s="498"/>
      <c r="K63" s="498"/>
      <c r="L63" s="498"/>
      <c r="M63" s="499"/>
      <c r="N63" s="501"/>
      <c r="O63" s="501"/>
      <c r="P63" s="124"/>
      <c r="Q63" s="160"/>
      <c r="R63" s="455"/>
      <c r="S63" s="160"/>
      <c r="T63" s="160"/>
      <c r="U63" s="460"/>
      <c r="V63" s="463" t="s">
        <v>412</v>
      </c>
      <c r="W63" s="462"/>
      <c r="X63" s="462"/>
      <c r="Y63" s="462"/>
      <c r="Z63" s="462"/>
      <c r="AA63" s="462"/>
      <c r="AB63" s="462"/>
      <c r="AC63" s="462"/>
      <c r="AD63" s="462"/>
      <c r="AE63" s="462"/>
      <c r="AF63" s="462"/>
      <c r="AG63" s="462"/>
      <c r="AH63" s="462"/>
      <c r="AI63" s="462"/>
      <c r="AJ63" s="462"/>
      <c r="AK63" s="462"/>
      <c r="AL63" s="462"/>
      <c r="AM63" s="462"/>
      <c r="AN63" s="462"/>
      <c r="AO63" s="462"/>
      <c r="AP63" s="462"/>
      <c r="AQ63" s="462"/>
      <c r="AS63" s="122"/>
      <c r="AT63" s="122" t="str">
        <f aca="false">IF(V63="","",V63)</f>
        <v>Добавить централизованную систему для дифференциации</v>
      </c>
      <c r="AU63" s="122"/>
      <c r="AV63" s="122"/>
      <c r="AW63" s="49" t="n">
        <v>0</v>
      </c>
    </row>
    <row r="64" s="49" customFormat="true" ht="14.35" hidden="false" customHeight="false" outlineLevel="0" collapsed="false">
      <c r="A64" s="498" t="s">
        <v>173</v>
      </c>
      <c r="B64" s="498"/>
      <c r="C64" s="498"/>
      <c r="D64" s="498"/>
      <c r="E64" s="496"/>
      <c r="F64" s="498"/>
      <c r="G64" s="498"/>
      <c r="H64" s="498"/>
      <c r="I64" s="498"/>
      <c r="J64" s="498"/>
      <c r="K64" s="498"/>
      <c r="L64" s="498"/>
      <c r="M64" s="499"/>
      <c r="N64" s="501"/>
      <c r="O64" s="501"/>
      <c r="P64" s="124"/>
      <c r="Q64" s="160"/>
      <c r="R64" s="455"/>
      <c r="S64" s="160"/>
      <c r="T64" s="160"/>
      <c r="U64" s="460"/>
      <c r="V64" s="463" t="s">
        <v>413</v>
      </c>
      <c r="W64" s="462"/>
      <c r="X64" s="462"/>
      <c r="Y64" s="462"/>
      <c r="Z64" s="462"/>
      <c r="AA64" s="462"/>
      <c r="AB64" s="462"/>
      <c r="AC64" s="462"/>
      <c r="AD64" s="462"/>
      <c r="AE64" s="462"/>
      <c r="AF64" s="462"/>
      <c r="AG64" s="462"/>
      <c r="AH64" s="462"/>
      <c r="AI64" s="462"/>
      <c r="AJ64" s="462"/>
      <c r="AK64" s="462"/>
      <c r="AL64" s="462"/>
      <c r="AM64" s="462"/>
      <c r="AN64" s="462"/>
      <c r="AO64" s="462"/>
      <c r="AP64" s="462"/>
      <c r="AQ64" s="462"/>
      <c r="AS64" s="122"/>
      <c r="AT64" s="122" t="str">
        <f aca="false">IF(V64="","",V64)</f>
        <v>Добавить территорию для дифференциации</v>
      </c>
      <c r="AU64" s="122"/>
      <c r="AV64" s="122"/>
      <c r="AW64" s="49" t="n">
        <v>0</v>
      </c>
    </row>
    <row r="65" s="49" customFormat="true" ht="3.75" hidden="false" customHeight="true" outlineLevel="0" collapsed="false">
      <c r="A65" s="498"/>
      <c r="B65" s="498"/>
      <c r="C65" s="498"/>
      <c r="D65" s="498"/>
      <c r="E65" s="498"/>
      <c r="F65" s="498"/>
      <c r="G65" s="498"/>
      <c r="H65" s="498"/>
      <c r="I65" s="498"/>
      <c r="J65" s="498"/>
      <c r="K65" s="498"/>
      <c r="L65" s="498"/>
      <c r="M65" s="499"/>
      <c r="N65" s="501"/>
      <c r="O65" s="501"/>
      <c r="P65" s="124"/>
      <c r="Q65" s="160"/>
      <c r="R65" s="455"/>
      <c r="S65" s="160"/>
      <c r="T65" s="160"/>
      <c r="U65" s="460"/>
      <c r="V65" s="463" t="s">
        <v>445</v>
      </c>
      <c r="W65" s="462"/>
      <c r="X65" s="462"/>
      <c r="Y65" s="462"/>
      <c r="Z65" s="462"/>
      <c r="AA65" s="462"/>
      <c r="AB65" s="462"/>
      <c r="AC65" s="462"/>
      <c r="AD65" s="462"/>
      <c r="AE65" s="462"/>
      <c r="AF65" s="462"/>
      <c r="AG65" s="462"/>
      <c r="AH65" s="462"/>
      <c r="AI65" s="462"/>
      <c r="AJ65" s="462"/>
      <c r="AK65" s="462"/>
      <c r="AL65" s="462"/>
      <c r="AM65" s="462"/>
      <c r="AN65" s="462"/>
      <c r="AO65" s="462"/>
      <c r="AP65" s="462"/>
      <c r="AQ65" s="462"/>
      <c r="AS65" s="122"/>
      <c r="AT65" s="122" t="str">
        <f aca="false">IF(V65="","",V65)</f>
        <v>Добавить наименование тарифа</v>
      </c>
      <c r="AU65" s="122"/>
      <c r="AV65" s="122"/>
      <c r="AW65" s="49" t="n">
        <v>4</v>
      </c>
    </row>
    <row r="66" customFormat="false" ht="11.25" hidden="false" customHeight="true" outlineLevel="0" collapsed="false">
      <c r="N66" s="42"/>
      <c r="O66" s="42"/>
      <c r="P66" s="42"/>
      <c r="Q66" s="42"/>
      <c r="R66" s="42"/>
      <c r="S66" s="42"/>
      <c r="T66" s="42"/>
      <c r="U66" s="42"/>
      <c r="AR66" s="42"/>
      <c r="AS66" s="42"/>
      <c r="AT66" s="42"/>
      <c r="AU66" s="42"/>
      <c r="AV66" s="42"/>
      <c r="AW66" s="42" t="n">
        <v>11</v>
      </c>
    </row>
    <row r="67" customFormat="false" ht="35.25" hidden="false" customHeight="true" outlineLevel="0" collapsed="false">
      <c r="P67" s="42"/>
      <c r="U67" s="414"/>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W67" s="42" t="n">
        <v>34</v>
      </c>
    </row>
    <row r="68" customFormat="false" ht="21" hidden="false" customHeight="true" outlineLevel="0" collapsed="false">
      <c r="P68" s="42"/>
      <c r="V68" s="495"/>
      <c r="W68" s="495"/>
      <c r="X68" s="495"/>
      <c r="Y68" s="495"/>
      <c r="Z68" s="495"/>
      <c r="AA68" s="495"/>
      <c r="AB68" s="495"/>
      <c r="AC68" s="495"/>
      <c r="AD68" s="495"/>
      <c r="AE68" s="495"/>
      <c r="AF68" s="495"/>
      <c r="AG68" s="495"/>
      <c r="AH68" s="495"/>
      <c r="AI68" s="495"/>
      <c r="AJ68" s="495"/>
      <c r="AK68" s="495"/>
      <c r="AL68" s="495"/>
      <c r="AM68" s="495"/>
      <c r="AN68" s="495"/>
      <c r="AO68" s="495"/>
      <c r="AP68" s="495"/>
      <c r="AQ68" s="495"/>
      <c r="AW68" s="42" t="n">
        <v>20</v>
      </c>
    </row>
    <row r="69" customFormat="false" ht="14.25" hidden="false" customHeight="true" outlineLevel="0" collapsed="false">
      <c r="P69" s="42"/>
      <c r="AW69" s="42" t="n">
        <v>14</v>
      </c>
    </row>
    <row r="70" customFormat="false" ht="28.5" hidden="false" customHeight="true" outlineLevel="0" collapsed="false">
      <c r="P70" s="42"/>
      <c r="V70" s="495"/>
      <c r="W70" s="495"/>
      <c r="X70" s="495"/>
      <c r="Y70" s="495"/>
      <c r="Z70" s="495"/>
      <c r="AA70" s="495"/>
      <c r="AB70" s="495"/>
      <c r="AC70" s="495"/>
      <c r="AD70" s="495"/>
      <c r="AE70" s="495"/>
      <c r="AF70" s="495"/>
      <c r="AG70" s="495"/>
      <c r="AH70" s="495"/>
      <c r="AI70" s="495"/>
      <c r="AJ70" s="495"/>
      <c r="AK70" s="495"/>
      <c r="AL70" s="495"/>
      <c r="AM70" s="495"/>
      <c r="AN70" s="495"/>
      <c r="AO70" s="495"/>
      <c r="AP70" s="495"/>
      <c r="AQ70" s="495"/>
      <c r="AW70" s="42" t="n">
        <v>27</v>
      </c>
    </row>
    <row r="71" customFormat="false" ht="18.75" hidden="false" customHeight="true" outlineLevel="0" collapsed="false">
      <c r="P71" s="42"/>
      <c r="V71" s="495"/>
      <c r="W71" s="495"/>
      <c r="X71" s="495"/>
      <c r="Y71" s="495"/>
      <c r="Z71" s="495"/>
      <c r="AA71" s="495"/>
      <c r="AB71" s="495"/>
      <c r="AC71" s="495"/>
      <c r="AD71" s="495"/>
      <c r="AE71" s="495"/>
      <c r="AF71" s="495"/>
      <c r="AG71" s="495"/>
      <c r="AH71" s="495"/>
      <c r="AI71" s="495"/>
      <c r="AJ71" s="495"/>
      <c r="AK71" s="495"/>
      <c r="AL71" s="495"/>
      <c r="AM71" s="495"/>
      <c r="AN71" s="495"/>
      <c r="AO71" s="495"/>
      <c r="AP71" s="495"/>
      <c r="AQ71" s="495"/>
      <c r="AW71" s="42" t="n">
        <v>18</v>
      </c>
    </row>
    <row r="72" customFormat="false" ht="22.5" hidden="true" customHeight="true" outlineLevel="0" collapsed="false">
      <c r="A72" s="42" t="s">
        <v>80</v>
      </c>
      <c r="B72" s="42" t="n">
        <v>0</v>
      </c>
      <c r="C72" s="42" t="n">
        <v>0</v>
      </c>
      <c r="D72" s="42" t="n">
        <v>0</v>
      </c>
      <c r="E72" s="42" t="n">
        <v>0</v>
      </c>
      <c r="F72" s="42" t="n">
        <v>0</v>
      </c>
      <c r="G72" s="42" t="n">
        <v>0</v>
      </c>
      <c r="H72" s="42" t="n">
        <v>0</v>
      </c>
      <c r="I72" s="42" t="n">
        <v>0</v>
      </c>
      <c r="J72" s="42" t="n">
        <v>0</v>
      </c>
      <c r="K72" s="42" t="n">
        <v>0</v>
      </c>
      <c r="L72" s="42" t="n">
        <v>0</v>
      </c>
      <c r="M72" s="43" t="n">
        <v>0</v>
      </c>
      <c r="N72" s="52" t="n">
        <v>0</v>
      </c>
      <c r="O72" s="52" t="n">
        <v>0</v>
      </c>
      <c r="P72" s="52" t="n">
        <v>0</v>
      </c>
      <c r="Q72" s="52" t="n">
        <v>0</v>
      </c>
      <c r="R72" s="416" t="n">
        <v>3</v>
      </c>
      <c r="S72" s="416" t="n">
        <v>3</v>
      </c>
      <c r="T72" s="416" t="n">
        <v>3</v>
      </c>
      <c r="U72" s="77" t="n">
        <v>12</v>
      </c>
      <c r="V72" s="42" t="n">
        <v>31</v>
      </c>
      <c r="W72" s="42" t="n">
        <v>0</v>
      </c>
      <c r="X72" s="42" t="n">
        <v>0</v>
      </c>
      <c r="Y72" s="42" t="n">
        <v>0</v>
      </c>
      <c r="Z72" s="42" t="n">
        <v>0</v>
      </c>
      <c r="AA72" s="42" t="n">
        <v>0</v>
      </c>
      <c r="AB72" s="42" t="n">
        <v>0</v>
      </c>
      <c r="AC72" s="42" t="n">
        <v>0</v>
      </c>
      <c r="AD72" s="42" t="n">
        <v>0</v>
      </c>
      <c r="AE72" s="42" t="n">
        <v>0</v>
      </c>
      <c r="AF72" s="42" t="n">
        <v>0</v>
      </c>
      <c r="AG72" s="42" t="n">
        <v>21</v>
      </c>
      <c r="AH72" s="42" t="n">
        <v>21</v>
      </c>
      <c r="AI72" s="42" t="n">
        <v>21</v>
      </c>
      <c r="AJ72" s="42" t="n">
        <v>21</v>
      </c>
      <c r="AK72" s="42" t="n">
        <v>21</v>
      </c>
      <c r="AL72" s="42" t="n">
        <v>11</v>
      </c>
      <c r="AM72" s="42" t="n">
        <v>3</v>
      </c>
      <c r="AN72" s="42" t="n">
        <v>11</v>
      </c>
      <c r="AO72" s="42" t="n">
        <v>8</v>
      </c>
      <c r="AP72" s="42" t="n">
        <v>4</v>
      </c>
      <c r="AQ72" s="42" t="n">
        <v>115</v>
      </c>
      <c r="AR72" s="49" t="n">
        <v>10</v>
      </c>
      <c r="AS72" s="49" t="n">
        <v>10</v>
      </c>
      <c r="AT72" s="49" t="n">
        <v>10</v>
      </c>
      <c r="AU72" s="49" t="n">
        <v>10</v>
      </c>
      <c r="AV72" s="49" t="n">
        <v>10</v>
      </c>
      <c r="AW72" s="42" t="n">
        <v>23</v>
      </c>
    </row>
  </sheetData>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8 AF8 AM8 AO8 AM19:AM21 AO19:AO21 AD55 AF55 AM55 AO5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8 AE8 AL8 AN8 AL19:AL21 AN19:AN21 AC55 AE55 AL55 AN55" type="none">
      <formula1>0</formula1>
      <formula2>0</formula2>
    </dataValidation>
    <dataValidation allowBlank="true" errorStyle="stop" operator="between" promptTitle="checkPeriodRange" showDropDown="false" showErrorMessage="false" showInputMessage="false" sqref="AB10:AB11 AK10:AK11 AK22 AB57 AK5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Q79"/>
  <sheetViews>
    <sheetView showFormulas="false" showGridLines="false" showRowColHeaders="true" showZeros="true" rightToLeft="false" tabSelected="true" showOutlineSymbols="true" defaultGridColor="true" view="normal" topLeftCell="A1" colorId="64" zoomScale="90" zoomScaleNormal="90" zoomScalePageLayoutView="100" workbookViewId="0">
      <selection pane="topLeft" activeCell="F66" activeCellId="0" sqref="F66"/>
    </sheetView>
  </sheetViews>
  <sheetFormatPr defaultColWidth="9.15234375" defaultRowHeight="11.25" zeroHeight="false" outlineLevelRow="0" outlineLevelCol="0"/>
  <cols>
    <col collapsed="false" customWidth="true" hidden="true" outlineLevel="0" max="1" min="1" style="39" width="10.71"/>
    <col collapsed="false" customWidth="true" hidden="true" outlineLevel="0" max="2" min="2" style="40" width="10.71"/>
    <col collapsed="false" customWidth="true" hidden="false" outlineLevel="0" max="3" min="3" style="41" width="3"/>
    <col collapsed="false" customWidth="true" hidden="false" outlineLevel="0" max="4" min="4" style="42" width="1"/>
    <col collapsed="false" customWidth="true" hidden="false" outlineLevel="0" max="6" min="5" style="42" width="55"/>
    <col collapsed="false" customWidth="true" hidden="false" outlineLevel="0" max="7" min="7" style="43" width="1"/>
    <col collapsed="false" customWidth="true" hidden="true" outlineLevel="0" max="8" min="8" style="42" width="18"/>
    <col collapsed="false" customWidth="true" hidden="false" outlineLevel="0" max="9" min="9" style="44" width="59"/>
    <col collapsed="false" customWidth="true" hidden="true" outlineLevel="0" max="10" min="10" style="45" width="52.14"/>
    <col collapsed="false" customWidth="true" hidden="false" outlineLevel="0" max="11" min="11" style="42" width="8"/>
    <col collapsed="false" customWidth="true" hidden="false" outlineLevel="0" max="12" min="12" style="42" width="77"/>
    <col collapsed="false" customWidth="true" hidden="false" outlineLevel="0" max="16" min="13" style="42" width="8"/>
    <col collapsed="false" customWidth="true" hidden="true" outlineLevel="0" max="17" min="17" style="42" width="12"/>
  </cols>
  <sheetData>
    <row r="1" s="47" customFormat="true" ht="3" hidden="false" customHeight="true" outlineLevel="0" collapsed="false">
      <c r="A1" s="39"/>
      <c r="B1" s="46"/>
      <c r="F1" s="47" t="s">
        <v>13</v>
      </c>
      <c r="G1" s="44"/>
      <c r="H1" s="48"/>
      <c r="I1" s="44"/>
      <c r="J1" s="49"/>
      <c r="Q1" s="47" t="s">
        <v>14</v>
      </c>
    </row>
    <row r="2" s="48" customFormat="true" ht="14.25" hidden="false" customHeight="true" outlineLevel="0" collapsed="false">
      <c r="A2" s="39"/>
      <c r="B2" s="40"/>
      <c r="E2" s="50" t="str">
        <f aca="false">code</f>
        <v>Код отчёта: PP108.OPEN.INFO.QUARTER.VOTV.EIAS</v>
      </c>
      <c r="F2" s="51"/>
      <c r="G2" s="52"/>
      <c r="H2" s="52"/>
      <c r="I2" s="52"/>
      <c r="J2" s="53"/>
      <c r="K2" s="52"/>
      <c r="Q2" s="48" t="n">
        <v>14</v>
      </c>
    </row>
    <row r="3" customFormat="false" ht="14.25" hidden="false" customHeight="true" outlineLevel="0" collapsed="false">
      <c r="E3" s="54" t="str">
        <f aca="false">version</f>
        <v>Версия отчёта: 1.1.1</v>
      </c>
      <c r="F3" s="51"/>
      <c r="G3" s="55"/>
      <c r="H3" s="55"/>
      <c r="I3" s="55"/>
      <c r="J3" s="56"/>
      <c r="K3" s="55"/>
      <c r="Q3" s="42" t="n">
        <v>14</v>
      </c>
    </row>
    <row r="4" s="60" customFormat="true" ht="6" hidden="false" customHeight="true" outlineLevel="0" collapsed="false">
      <c r="A4" s="39"/>
      <c r="B4" s="57"/>
      <c r="C4" s="58"/>
      <c r="D4" s="59"/>
      <c r="F4" s="61"/>
      <c r="G4" s="43"/>
      <c r="H4" s="42"/>
      <c r="I4" s="44"/>
      <c r="J4" s="62"/>
      <c r="Q4" s="60" t="n">
        <v>6</v>
      </c>
    </row>
    <row r="5" customFormat="false" ht="39.75" hidden="false" customHeight="true" outlineLevel="0" collapsed="false">
      <c r="D5" s="63"/>
      <c r="E5" s="64" t="str">
        <f aca="false">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64"/>
      <c r="G5" s="65"/>
      <c r="J5" s="66"/>
      <c r="Q5" s="42" t="n">
        <v>38</v>
      </c>
    </row>
    <row r="6" s="60" customFormat="true" ht="6" hidden="false" customHeight="true" outlineLevel="0" collapsed="false">
      <c r="A6" s="39"/>
      <c r="B6" s="57"/>
      <c r="C6" s="58"/>
      <c r="D6" s="59"/>
      <c r="E6" s="67"/>
      <c r="F6" s="68"/>
      <c r="G6" s="65"/>
      <c r="H6" s="42"/>
      <c r="I6" s="44"/>
      <c r="J6" s="62"/>
      <c r="Q6" s="60" t="n">
        <v>6</v>
      </c>
    </row>
    <row r="7" customFormat="false" ht="21" hidden="false" customHeight="true" outlineLevel="0" collapsed="false">
      <c r="D7" s="63"/>
      <c r="E7" s="69" t="s">
        <v>15</v>
      </c>
      <c r="F7" s="70" t="s">
        <v>16</v>
      </c>
      <c r="G7" s="65"/>
      <c r="Q7" s="42" t="n">
        <v>20</v>
      </c>
    </row>
    <row r="8" s="60" customFormat="true" ht="6" hidden="false" customHeight="true" outlineLevel="0" collapsed="false">
      <c r="A8" s="71"/>
      <c r="B8" s="57"/>
      <c r="C8" s="58"/>
      <c r="D8" s="72"/>
      <c r="E8" s="67"/>
      <c r="F8" s="73"/>
      <c r="G8" s="74"/>
      <c r="H8" s="42"/>
      <c r="I8" s="44"/>
      <c r="J8" s="75"/>
      <c r="Q8" s="60" t="n">
        <v>6</v>
      </c>
    </row>
    <row r="9" s="42" customFormat="true" ht="19.5" hidden="true" customHeight="true" outlineLevel="0" collapsed="false">
      <c r="A9" s="39"/>
      <c r="B9" s="40"/>
      <c r="C9" s="41"/>
      <c r="D9" s="63"/>
      <c r="E9" s="69" t="s">
        <v>17</v>
      </c>
      <c r="F9" s="76"/>
      <c r="G9" s="65"/>
      <c r="I9" s="77" t="str">
        <f aca="false">IF(TITLE_STRUCTURE_INFO_ROIV="","","раскрывается "&amp;INDEX(ROIV_INFO_COMMENT,MATCH(TITLE_STRUCTURE_INFO_ROIV,ROIV_INFO_LIST,0)))</f>
        <v/>
      </c>
      <c r="J9" s="45"/>
      <c r="Q9" s="42" t="n">
        <v>0</v>
      </c>
    </row>
    <row r="10" s="60" customFormat="true" ht="24" hidden="true" customHeight="true" outlineLevel="0" collapsed="false">
      <c r="A10" s="71"/>
      <c r="B10" s="57"/>
      <c r="C10" s="58"/>
      <c r="D10" s="72"/>
      <c r="E10" s="69" t="s">
        <v>18</v>
      </c>
      <c r="F10" s="78" t="s">
        <v>19</v>
      </c>
      <c r="G10" s="74"/>
      <c r="H10" s="42"/>
      <c r="I10" s="44"/>
      <c r="J10" s="75"/>
      <c r="Q10" s="60" t="n">
        <v>24</v>
      </c>
    </row>
    <row r="11" customFormat="false" ht="22.5" hidden="true" customHeight="true" outlineLevel="0" collapsed="false">
      <c r="A11" s="79" t="s">
        <v>20</v>
      </c>
      <c r="D11" s="63"/>
      <c r="E11" s="80" t="s">
        <v>21</v>
      </c>
      <c r="F11" s="81"/>
      <c r="G11" s="74"/>
      <c r="H11" s="82" t="s">
        <v>22</v>
      </c>
      <c r="J11" s="45" t="s">
        <v>23</v>
      </c>
      <c r="Q11" s="42" t="n">
        <v>0</v>
      </c>
    </row>
    <row r="12" customFormat="false" ht="22.5" hidden="true" customHeight="true" outlineLevel="0" collapsed="false">
      <c r="A12" s="79"/>
      <c r="D12" s="63"/>
      <c r="E12" s="80" t="s">
        <v>24</v>
      </c>
      <c r="F12" s="81"/>
      <c r="G12" s="83"/>
      <c r="J12" s="45" t="s">
        <v>25</v>
      </c>
      <c r="Q12" s="42" t="n">
        <v>0</v>
      </c>
    </row>
    <row r="13" s="42" customFormat="true" ht="22.5" hidden="true" customHeight="true" outlineLevel="0" collapsed="false">
      <c r="A13" s="84" t="s">
        <v>26</v>
      </c>
      <c r="B13" s="40"/>
      <c r="C13" s="41"/>
      <c r="D13" s="63"/>
      <c r="E13" s="85" t="s">
        <v>27</v>
      </c>
      <c r="F13" s="81"/>
      <c r="G13" s="74"/>
      <c r="H13" s="55"/>
      <c r="I13" s="44"/>
      <c r="J13" s="53" t="s">
        <v>28</v>
      </c>
      <c r="Q13" s="42" t="n">
        <v>0</v>
      </c>
    </row>
    <row r="14" s="42" customFormat="true" ht="27" hidden="false" customHeight="true" outlineLevel="0" collapsed="false">
      <c r="A14" s="84" t="s">
        <v>29</v>
      </c>
      <c r="B14" s="40"/>
      <c r="C14" s="41"/>
      <c r="D14" s="63"/>
      <c r="E14" s="69" t="s">
        <v>30</v>
      </c>
      <c r="F14" s="86" t="n">
        <v>2024</v>
      </c>
      <c r="G14" s="74"/>
      <c r="H14" s="55"/>
      <c r="I14" s="44"/>
      <c r="J14" s="45" t="s">
        <v>31</v>
      </c>
      <c r="Q14" s="42" t="n">
        <v>0</v>
      </c>
    </row>
    <row r="15" s="42" customFormat="true" ht="19.5" hidden="false" customHeight="true" outlineLevel="0" collapsed="false">
      <c r="A15" s="84" t="s">
        <v>32</v>
      </c>
      <c r="B15" s="40"/>
      <c r="C15" s="41"/>
      <c r="D15" s="63"/>
      <c r="E15" s="69" t="s">
        <v>33</v>
      </c>
      <c r="F15" s="86" t="s">
        <v>34</v>
      </c>
      <c r="G15" s="74"/>
      <c r="H15" s="55"/>
      <c r="I15" s="44"/>
      <c r="J15" s="45" t="s">
        <v>35</v>
      </c>
      <c r="Q15" s="42" t="n">
        <v>0</v>
      </c>
    </row>
    <row r="16" s="60" customFormat="true" ht="6" hidden="false" customHeight="true" outlineLevel="0" collapsed="false">
      <c r="A16" s="71"/>
      <c r="B16" s="57"/>
      <c r="C16" s="58"/>
      <c r="D16" s="72"/>
      <c r="E16" s="67"/>
      <c r="F16" s="73"/>
      <c r="G16" s="74"/>
      <c r="H16" s="42"/>
      <c r="I16" s="44"/>
      <c r="J16" s="62"/>
      <c r="Q16" s="60" t="n">
        <v>6</v>
      </c>
    </row>
    <row r="17" customFormat="false" ht="21" hidden="false" customHeight="true" outlineLevel="0" collapsed="false">
      <c r="D17" s="63"/>
      <c r="E17" s="69" t="s">
        <v>36</v>
      </c>
      <c r="F17" s="87" t="s">
        <v>37</v>
      </c>
      <c r="G17" s="83"/>
      <c r="H17" s="82" t="s">
        <v>22</v>
      </c>
      <c r="Q17" s="42" t="n">
        <v>20</v>
      </c>
    </row>
    <row r="18" customFormat="false" ht="25.5" hidden="true" customHeight="true" outlineLevel="0" collapsed="false">
      <c r="D18" s="63"/>
      <c r="E18" s="88" t="s">
        <v>38</v>
      </c>
      <c r="F18" s="89"/>
      <c r="G18" s="83"/>
      <c r="I18" s="90"/>
      <c r="J18" s="91" t="s">
        <v>39</v>
      </c>
      <c r="Q18" s="42" t="n">
        <v>0</v>
      </c>
    </row>
    <row r="19" customFormat="false" ht="25.5" hidden="true" customHeight="true" outlineLevel="0" collapsed="false">
      <c r="D19" s="63"/>
      <c r="E19" s="69" t="str">
        <f aca="false">"Дата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9"/>
      <c r="G19" s="83"/>
      <c r="I19" s="90"/>
      <c r="J19" s="91"/>
      <c r="Q19" s="42" t="n">
        <v>0</v>
      </c>
    </row>
    <row r="20" customFormat="false" ht="22.5" hidden="true" customHeight="true" outlineLevel="0" collapsed="false">
      <c r="D20" s="63"/>
      <c r="E20" s="92"/>
      <c r="F20" s="43" t="str">
        <f aca="false">"Первичное "&amp;IF(TEMPLATE_GROUP="P","установление тарифов","предложение по тарифам")</f>
        <v>Первичное предложение по тарифам</v>
      </c>
      <c r="G20" s="83"/>
      <c r="I20" s="74"/>
      <c r="J20" s="66" t="s">
        <v>40</v>
      </c>
      <c r="Q20" s="42" t="n">
        <v>0</v>
      </c>
    </row>
    <row r="21" customFormat="false" ht="19.5" hidden="true" customHeight="true" outlineLevel="0" collapsed="false">
      <c r="D21" s="63"/>
      <c r="E21" s="69" t="str">
        <f aca="false">"Дата "&amp;IF(TEMPLATE_GROUP="P","документа","подачи заявления")&amp;" об утверждении тарифов"</f>
        <v>Дата подачи заявления об утверждении тарифов</v>
      </c>
      <c r="F21" s="81"/>
      <c r="G21" s="83"/>
      <c r="I21" s="93"/>
      <c r="Q21" s="42" t="n">
        <v>0</v>
      </c>
    </row>
    <row r="22" customFormat="false" ht="19.5" hidden="true" customHeight="true" outlineLevel="0" collapsed="false">
      <c r="D22" s="63"/>
      <c r="E22" s="69" t="str">
        <f aca="false">"Номер "&amp;IF(TEMPLATE_GROUP="P","документа","подачи заявления")&amp;" об утверждении тарифов"</f>
        <v>Номер подачи заявления об утверждении тарифов</v>
      </c>
      <c r="F22" s="87"/>
      <c r="G22" s="83"/>
      <c r="I22" s="93"/>
      <c r="Q22" s="42" t="n">
        <v>0</v>
      </c>
    </row>
    <row r="23" customFormat="false" ht="22.5" hidden="true" customHeight="true" outlineLevel="0" collapsed="false">
      <c r="D23" s="63"/>
      <c r="E23" s="69" t="s">
        <v>41</v>
      </c>
      <c r="F23" s="87"/>
      <c r="G23" s="83"/>
      <c r="Q23" s="42" t="n">
        <v>0</v>
      </c>
    </row>
    <row r="24" customFormat="false" ht="19.5" hidden="true" customHeight="true" outlineLevel="0" collapsed="false">
      <c r="D24" s="63"/>
      <c r="E24" s="69" t="s">
        <v>42</v>
      </c>
      <c r="F24" s="87"/>
      <c r="G24" s="83"/>
      <c r="Q24" s="42" t="n">
        <v>0</v>
      </c>
    </row>
    <row r="25" customFormat="false" ht="22.5" hidden="true" customHeight="true" outlineLevel="0" collapsed="false">
      <c r="D25" s="63"/>
      <c r="E25" s="92"/>
      <c r="F25" s="43" t="str">
        <f aca="false">"Изменение "&amp;IF(TEMPLATE_GROUP="P","тарифов","предложения по тарифам")</f>
        <v>Изменение предложения по тарифам</v>
      </c>
      <c r="G25" s="83"/>
      <c r="J25" s="66" t="s">
        <v>43</v>
      </c>
      <c r="Q25" s="42" t="n">
        <v>0</v>
      </c>
    </row>
    <row r="26" customFormat="false" ht="19.5" hidden="true" customHeight="true" outlineLevel="0" collapsed="false">
      <c r="D26" s="63"/>
      <c r="E26" s="69" t="str">
        <f aca="false">"Дата "&amp;IF(TEMPLATE_GROUP="P","принятия решения","подачи заявления")&amp;" об изменении тарифов"</f>
        <v>Дата подачи заявления об изменении тарифов</v>
      </c>
      <c r="F26" s="89"/>
      <c r="G26" s="83"/>
      <c r="Q26" s="42" t="n">
        <v>0</v>
      </c>
    </row>
    <row r="27" customFormat="false" ht="19.5" hidden="true" customHeight="true" outlineLevel="0" collapsed="false">
      <c r="D27" s="63"/>
      <c r="E27" s="69" t="str">
        <f aca="false">"Номер "&amp;IF(TEMPLATE_GROUP="P","принятия решения","заявления")&amp;" об изменении тарифов"</f>
        <v>Номер заявления об изменении тарифов</v>
      </c>
      <c r="F27" s="94"/>
      <c r="G27" s="83"/>
      <c r="Q27" s="42" t="n">
        <v>0</v>
      </c>
    </row>
    <row r="28" customFormat="false" ht="24.75" hidden="true" customHeight="true" outlineLevel="0" collapsed="false">
      <c r="D28" s="63"/>
      <c r="E28" s="69" t="s">
        <v>44</v>
      </c>
      <c r="F28" s="94"/>
      <c r="G28" s="83"/>
      <c r="Q28" s="42" t="n">
        <v>0</v>
      </c>
    </row>
    <row r="29" customFormat="false" ht="19.5" hidden="true" customHeight="true" outlineLevel="0" collapsed="false">
      <c r="D29" s="63"/>
      <c r="E29" s="69" t="s">
        <v>42</v>
      </c>
      <c r="F29" s="94"/>
      <c r="G29" s="83"/>
      <c r="Q29" s="42" t="n">
        <v>0</v>
      </c>
    </row>
    <row r="30" s="60" customFormat="true" ht="6" hidden="false" customHeight="true" outlineLevel="0" collapsed="false">
      <c r="A30" s="71"/>
      <c r="B30" s="57"/>
      <c r="C30" s="58"/>
      <c r="D30" s="72"/>
      <c r="E30" s="67"/>
      <c r="F30" s="73"/>
      <c r="G30" s="74"/>
      <c r="H30" s="42"/>
      <c r="I30" s="44"/>
      <c r="J30" s="62"/>
      <c r="Q30" s="60" t="n">
        <v>6</v>
      </c>
    </row>
    <row r="31" customFormat="false" ht="21" hidden="false" customHeight="true" outlineLevel="0" collapsed="false">
      <c r="C31" s="95"/>
      <c r="D31" s="96"/>
      <c r="E31" s="69" t="str">
        <f aca="false">"Наименование "&amp;IF(TEMPLATE_GROUP="ROIV","органа тарифного регулирования","ЮЛ / ИП")</f>
        <v>Наименование ЮЛ / ИП</v>
      </c>
      <c r="F31" s="97" t="s">
        <v>45</v>
      </c>
      <c r="G31" s="98"/>
      <c r="Q31" s="42" t="n">
        <v>20</v>
      </c>
    </row>
    <row r="32" customFormat="false" ht="21" hidden="true" customHeight="true" outlineLevel="0" collapsed="false">
      <c r="C32" s="95"/>
      <c r="D32" s="96"/>
      <c r="E32" s="99" t="s">
        <v>46</v>
      </c>
      <c r="F32" s="97"/>
      <c r="G32" s="98"/>
      <c r="Q32" s="42" t="n">
        <v>20</v>
      </c>
    </row>
    <row r="33" customFormat="false" ht="21" hidden="false" customHeight="true" outlineLevel="0" collapsed="false">
      <c r="C33" s="95"/>
      <c r="D33" s="96"/>
      <c r="E33" s="69" t="s">
        <v>47</v>
      </c>
      <c r="F33" s="97" t="s">
        <v>48</v>
      </c>
      <c r="G33" s="98"/>
      <c r="Q33" s="42" t="n">
        <v>20</v>
      </c>
    </row>
    <row r="34" customFormat="false" ht="21" hidden="false" customHeight="true" outlineLevel="0" collapsed="false">
      <c r="C34" s="95"/>
      <c r="D34" s="96"/>
      <c r="E34" s="69" t="s">
        <v>49</v>
      </c>
      <c r="F34" s="97" t="s">
        <v>50</v>
      </c>
      <c r="G34" s="98"/>
      <c r="H34" s="100"/>
      <c r="Q34" s="42" t="n">
        <v>20</v>
      </c>
    </row>
    <row r="35" s="60" customFormat="true" ht="11.25" hidden="false" customHeight="true" outlineLevel="0" collapsed="false">
      <c r="A35" s="71"/>
      <c r="B35" s="57"/>
      <c r="C35" s="58"/>
      <c r="D35" s="72"/>
      <c r="E35" s="67"/>
      <c r="F35" s="73"/>
      <c r="G35" s="74"/>
      <c r="H35" s="42"/>
      <c r="I35" s="44"/>
      <c r="J35" s="62"/>
      <c r="Q35" s="60" t="n">
        <v>11</v>
      </c>
    </row>
    <row r="36" customFormat="false" ht="19.5" hidden="true" customHeight="true" outlineLevel="0" collapsed="false">
      <c r="A36" s="101"/>
      <c r="D36" s="96"/>
      <c r="E36" s="69" t="s">
        <v>51</v>
      </c>
      <c r="F36" s="102"/>
      <c r="G36" s="74"/>
      <c r="Q36" s="42" t="n">
        <v>0</v>
      </c>
    </row>
    <row r="37" customFormat="false" ht="21" hidden="false" customHeight="true" outlineLevel="0" collapsed="false">
      <c r="A37" s="101"/>
      <c r="D37" s="96"/>
      <c r="E37" s="69" t="s">
        <v>52</v>
      </c>
      <c r="F37" s="102" t="s">
        <v>53</v>
      </c>
      <c r="G37" s="74"/>
      <c r="Q37" s="42" t="n">
        <v>20</v>
      </c>
    </row>
    <row r="38" s="60" customFormat="true" ht="6" hidden="false" customHeight="true" outlineLevel="0" collapsed="false">
      <c r="A38" s="71"/>
      <c r="B38" s="57"/>
      <c r="C38" s="58"/>
      <c r="D38" s="59"/>
      <c r="E38" s="103"/>
      <c r="F38" s="104"/>
      <c r="G38" s="83"/>
      <c r="H38" s="42"/>
      <c r="I38" s="44"/>
      <c r="J38" s="45"/>
      <c r="Q38" s="60" t="n">
        <v>6</v>
      </c>
    </row>
    <row r="39" customFormat="false" ht="36.75" hidden="false" customHeight="true" outlineLevel="0" collapsed="false">
      <c r="A39" s="71"/>
      <c r="D39" s="63"/>
      <c r="E39" s="69" t="s">
        <v>54</v>
      </c>
      <c r="F39" s="78" t="s">
        <v>19</v>
      </c>
      <c r="G39" s="83"/>
      <c r="H39" s="82" t="s">
        <v>22</v>
      </c>
      <c r="Q39" s="42" t="n">
        <v>35</v>
      </c>
    </row>
    <row r="40" s="60" customFormat="true" ht="6" hidden="true" customHeight="true" outlineLevel="0" collapsed="false">
      <c r="A40" s="39"/>
      <c r="B40" s="57"/>
      <c r="C40" s="58"/>
      <c r="D40" s="59"/>
      <c r="E40" s="103"/>
      <c r="F40" s="104"/>
      <c r="G40" s="83"/>
      <c r="H40" s="42"/>
      <c r="I40" s="44"/>
      <c r="J40" s="45"/>
      <c r="Q40" s="60" t="n">
        <v>6</v>
      </c>
    </row>
    <row r="41" s="42" customFormat="true" ht="26.25" hidden="true" customHeight="true" outlineLevel="0" collapsed="false">
      <c r="A41" s="84" t="s">
        <v>26</v>
      </c>
      <c r="B41" s="40"/>
      <c r="C41" s="41"/>
      <c r="D41" s="63"/>
      <c r="E41" s="69" t="str">
        <f aca="false">"Дифференциация информации по централизованным системам  "&amp;TEMPLATE_SPHERE_RUS</f>
        <v>Дифференциация информации по централизованным системам  водоотведения</v>
      </c>
      <c r="F41" s="78" t="s">
        <v>19</v>
      </c>
      <c r="G41" s="83"/>
      <c r="I41" s="44"/>
      <c r="J41" s="45"/>
      <c r="Q41" s="42" t="n">
        <v>0</v>
      </c>
    </row>
    <row r="42" s="60" customFormat="true" ht="6" hidden="true" customHeight="true" outlineLevel="0" collapsed="false">
      <c r="A42" s="39"/>
      <c r="B42" s="57"/>
      <c r="C42" s="58"/>
      <c r="D42" s="59"/>
      <c r="E42" s="103"/>
      <c r="F42" s="104"/>
      <c r="G42" s="83"/>
      <c r="H42" s="42"/>
      <c r="I42" s="44"/>
      <c r="J42" s="62"/>
      <c r="Q42" s="60" t="n">
        <v>0</v>
      </c>
    </row>
    <row r="43" s="42" customFormat="true" ht="27" hidden="true" customHeight="true" outlineLevel="0" collapsed="false">
      <c r="A43" s="39"/>
      <c r="B43" s="40"/>
      <c r="C43" s="41"/>
      <c r="D43" s="63"/>
      <c r="E43" s="69" t="s">
        <v>55</v>
      </c>
      <c r="F43" s="78" t="s">
        <v>19</v>
      </c>
      <c r="G43" s="83"/>
      <c r="I43" s="44"/>
      <c r="J43" s="45"/>
      <c r="Q43" s="42" t="n">
        <v>0</v>
      </c>
    </row>
    <row r="44" s="42" customFormat="true" ht="27" hidden="true" customHeight="true" outlineLevel="0" collapsed="false">
      <c r="A44" s="39"/>
      <c r="B44" s="40"/>
      <c r="C44" s="41"/>
      <c r="D44" s="63"/>
      <c r="E44" s="69" t="s">
        <v>56</v>
      </c>
      <c r="F44" s="105"/>
      <c r="G44" s="83"/>
      <c r="I44" s="44"/>
      <c r="J44" s="45"/>
      <c r="Q44" s="42" t="n">
        <v>0</v>
      </c>
    </row>
    <row r="45" s="60" customFormat="true" ht="6" hidden="true" customHeight="true" outlineLevel="0" collapsed="false">
      <c r="A45" s="39"/>
      <c r="B45" s="57"/>
      <c r="C45" s="58"/>
      <c r="D45" s="59"/>
      <c r="E45" s="103"/>
      <c r="F45" s="104"/>
      <c r="G45" s="83"/>
      <c r="H45" s="42"/>
      <c r="I45" s="44"/>
      <c r="J45" s="45"/>
      <c r="Q45" s="60" t="n">
        <v>0</v>
      </c>
    </row>
    <row r="46" s="60" customFormat="true" ht="24.75" hidden="true" customHeight="true" outlineLevel="0" collapsed="false">
      <c r="A46" s="39"/>
      <c r="B46" s="57"/>
      <c r="C46" s="58"/>
      <c r="D46" s="59"/>
      <c r="E46" s="80" t="s">
        <v>57</v>
      </c>
      <c r="F46" s="78" t="s">
        <v>19</v>
      </c>
      <c r="G46" s="83"/>
      <c r="H46" s="42"/>
      <c r="I46" s="44"/>
      <c r="J46" s="45"/>
      <c r="Q46" s="60" t="n">
        <v>0</v>
      </c>
    </row>
    <row r="47" s="42" customFormat="true" ht="24.75" hidden="true" customHeight="true" outlineLevel="0" collapsed="false">
      <c r="A47" s="39"/>
      <c r="B47" s="40"/>
      <c r="C47" s="41"/>
      <c r="D47" s="63"/>
      <c r="E47" s="80" t="s">
        <v>58</v>
      </c>
      <c r="F47" s="78" t="s">
        <v>19</v>
      </c>
      <c r="G47" s="83"/>
      <c r="I47" s="44"/>
      <c r="J47" s="45"/>
      <c r="Q47" s="42" t="n">
        <v>0</v>
      </c>
    </row>
    <row r="48" s="60" customFormat="true" ht="6" hidden="true" customHeight="true" outlineLevel="0" collapsed="false">
      <c r="A48" s="39"/>
      <c r="B48" s="57"/>
      <c r="C48" s="58"/>
      <c r="D48" s="59"/>
      <c r="E48" s="103"/>
      <c r="F48" s="104"/>
      <c r="G48" s="83"/>
      <c r="H48" s="42"/>
      <c r="I48" s="44"/>
      <c r="J48" s="45"/>
      <c r="Q48" s="60" t="n">
        <v>0</v>
      </c>
    </row>
    <row r="49" customFormat="false" ht="29.25" hidden="true" customHeight="true" outlineLevel="0" collapsed="false">
      <c r="D49" s="63"/>
      <c r="E49" s="69" t="str">
        <f aca="false">"Организация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8"/>
      <c r="G49" s="83"/>
      <c r="Q49" s="42" t="n">
        <v>0</v>
      </c>
    </row>
    <row r="50" s="60" customFormat="true" ht="6" hidden="true" customHeight="true" outlineLevel="0" collapsed="false">
      <c r="A50" s="71"/>
      <c r="B50" s="57"/>
      <c r="C50" s="58"/>
      <c r="D50" s="72"/>
      <c r="E50" s="67"/>
      <c r="F50" s="73"/>
      <c r="G50" s="74"/>
      <c r="H50" s="42"/>
      <c r="I50" s="44"/>
      <c r="J50" s="45"/>
      <c r="Q50" s="60" t="n">
        <v>0</v>
      </c>
    </row>
    <row r="51" s="42" customFormat="true" ht="28.5" hidden="true" customHeight="true" outlineLevel="0" collapsed="false">
      <c r="A51" s="106"/>
      <c r="B51" s="40"/>
      <c r="C51" s="41"/>
      <c r="D51" s="44"/>
      <c r="E51" s="69" t="s">
        <v>59</v>
      </c>
      <c r="F51" s="78" t="s">
        <v>19</v>
      </c>
      <c r="G51" s="43"/>
      <c r="I51" s="107"/>
      <c r="J51" s="45"/>
      <c r="P51" s="108"/>
      <c r="Q51" s="42" t="n">
        <v>0</v>
      </c>
    </row>
    <row r="52" s="60" customFormat="true" ht="6" hidden="true" customHeight="true" outlineLevel="0" collapsed="false">
      <c r="A52" s="71"/>
      <c r="B52" s="57"/>
      <c r="C52" s="58"/>
      <c r="D52" s="72"/>
      <c r="E52" s="67"/>
      <c r="F52" s="73"/>
      <c r="G52" s="74"/>
      <c r="H52" s="42"/>
      <c r="I52" s="44"/>
      <c r="J52" s="62"/>
      <c r="Q52" s="60" t="n">
        <v>0</v>
      </c>
    </row>
    <row r="53" s="42" customFormat="true" ht="27" hidden="true" customHeight="true" outlineLevel="0" collapsed="false">
      <c r="A53" s="106"/>
      <c r="B53" s="40"/>
      <c r="C53" s="41"/>
      <c r="D53" s="44"/>
      <c r="E53" s="69" t="s">
        <v>60</v>
      </c>
      <c r="F53" s="109" t="s">
        <v>19</v>
      </c>
      <c r="G53" s="43"/>
      <c r="I53" s="107"/>
      <c r="J53" s="45"/>
      <c r="P53" s="108"/>
      <c r="Q53" s="42" t="n">
        <v>0</v>
      </c>
    </row>
    <row r="54" s="42" customFormat="true" ht="27" hidden="true" customHeight="true" outlineLevel="0" collapsed="false">
      <c r="A54" s="106"/>
      <c r="B54" s="40"/>
      <c r="C54" s="41"/>
      <c r="D54" s="44"/>
      <c r="E54" s="69" t="s">
        <v>61</v>
      </c>
      <c r="F54" s="110"/>
      <c r="G54" s="43"/>
      <c r="I54" s="107"/>
      <c r="J54" s="45"/>
      <c r="P54" s="108"/>
      <c r="Q54" s="42" t="n">
        <v>0</v>
      </c>
    </row>
    <row r="55" s="60" customFormat="true" ht="6" hidden="true" customHeight="true" outlineLevel="0" collapsed="false">
      <c r="A55" s="71"/>
      <c r="B55" s="57"/>
      <c r="C55" s="58"/>
      <c r="D55" s="72"/>
      <c r="E55" s="67"/>
      <c r="F55" s="73"/>
      <c r="G55" s="74"/>
      <c r="H55" s="42"/>
      <c r="I55" s="44"/>
      <c r="J55" s="62"/>
      <c r="Q55" s="60" t="n">
        <v>0</v>
      </c>
    </row>
    <row r="56" s="42" customFormat="true" ht="25.5" hidden="true" customHeight="true" outlineLevel="0" collapsed="false">
      <c r="A56" s="106"/>
      <c r="B56" s="40"/>
      <c r="C56" s="41"/>
      <c r="D56" s="44"/>
      <c r="E56" s="69" t="s">
        <v>62</v>
      </c>
      <c r="F56" s="109" t="s">
        <v>19</v>
      </c>
      <c r="G56" s="43"/>
      <c r="I56" s="107"/>
      <c r="J56" s="45"/>
      <c r="P56" s="108"/>
      <c r="Q56" s="42" t="n">
        <v>0</v>
      </c>
    </row>
    <row r="57" s="60" customFormat="true" ht="6" hidden="true" customHeight="true" outlineLevel="0" collapsed="false">
      <c r="A57" s="71"/>
      <c r="B57" s="57"/>
      <c r="C57" s="58"/>
      <c r="D57" s="72"/>
      <c r="E57" s="67"/>
      <c r="F57" s="73"/>
      <c r="G57" s="74"/>
      <c r="H57" s="42"/>
      <c r="I57" s="44"/>
      <c r="J57" s="62"/>
      <c r="Q57" s="60" t="n">
        <v>0</v>
      </c>
    </row>
    <row r="58" s="42" customFormat="true" ht="15" hidden="true" customHeight="true" outlineLevel="0" collapsed="false">
      <c r="A58" s="106"/>
      <c r="B58" s="40"/>
      <c r="C58" s="41"/>
      <c r="D58" s="44"/>
      <c r="E58" s="69" t="s">
        <v>63</v>
      </c>
      <c r="F58" s="109" t="s">
        <v>64</v>
      </c>
      <c r="G58" s="43"/>
      <c r="I58" s="107"/>
      <c r="J58" s="45"/>
      <c r="P58" s="108"/>
      <c r="Q58" s="42" t="n">
        <v>0</v>
      </c>
    </row>
    <row r="59" s="42" customFormat="true" ht="75" hidden="true" customHeight="true" outlineLevel="0" collapsed="false">
      <c r="A59" s="106"/>
      <c r="B59" s="40"/>
      <c r="C59" s="41"/>
      <c r="D59" s="44"/>
      <c r="E59" s="69" t="str">
        <f aca="false">"Инвестиционная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
      <c r="G59" s="43"/>
      <c r="I59" s="107"/>
      <c r="J59" s="45"/>
      <c r="P59" s="108"/>
      <c r="Q59" s="42" t="n">
        <v>0</v>
      </c>
    </row>
    <row r="60" s="42" customFormat="true" ht="15" hidden="true" customHeight="true" outlineLevel="0" collapsed="false">
      <c r="A60" s="106"/>
      <c r="B60" s="40"/>
      <c r="C60" s="41"/>
      <c r="D60" s="44"/>
      <c r="E60" s="69" t="s">
        <v>65</v>
      </c>
      <c r="F60" s="102"/>
      <c r="G60" s="43"/>
      <c r="I60" s="107"/>
      <c r="J60" s="45"/>
      <c r="P60" s="108"/>
      <c r="Q60" s="42" t="n">
        <v>0</v>
      </c>
    </row>
    <row r="61" s="60" customFormat="true" ht="6" hidden="true" customHeight="true" outlineLevel="0" collapsed="false">
      <c r="A61" s="71"/>
      <c r="B61" s="57"/>
      <c r="C61" s="58"/>
      <c r="D61" s="59"/>
      <c r="E61" s="103"/>
      <c r="F61" s="104"/>
      <c r="G61" s="83"/>
      <c r="H61" s="42"/>
      <c r="I61" s="44"/>
      <c r="J61" s="45"/>
      <c r="Q61" s="60" t="n">
        <v>0</v>
      </c>
    </row>
    <row r="62" s="42" customFormat="true" ht="33.75" hidden="true" customHeight="true" outlineLevel="0" collapsed="false">
      <c r="A62" s="71"/>
      <c r="B62" s="40"/>
      <c r="C62" s="41"/>
      <c r="D62" s="63"/>
      <c r="E62" s="69" t="s">
        <v>66</v>
      </c>
      <c r="F62" s="78" t="s">
        <v>64</v>
      </c>
      <c r="G62" s="83"/>
      <c r="H62" s="82" t="s">
        <v>22</v>
      </c>
      <c r="I62" s="44"/>
      <c r="J62" s="45"/>
      <c r="Q62" s="42" t="n">
        <v>0</v>
      </c>
    </row>
    <row r="63" s="60" customFormat="true" ht="6" hidden="false" customHeight="true" outlineLevel="0" collapsed="false">
      <c r="A63" s="71"/>
      <c r="B63" s="57"/>
      <c r="C63" s="58"/>
      <c r="D63" s="72"/>
      <c r="E63" s="67"/>
      <c r="F63" s="73"/>
      <c r="G63" s="74"/>
      <c r="H63" s="42"/>
      <c r="I63" s="44"/>
      <c r="J63" s="62"/>
      <c r="Q63" s="60" t="n">
        <v>6</v>
      </c>
    </row>
    <row r="64" customFormat="false" ht="21" hidden="false" customHeight="true" outlineLevel="0" collapsed="false">
      <c r="B64" s="111"/>
      <c r="D64" s="112"/>
      <c r="E64" s="69" t="s">
        <v>67</v>
      </c>
      <c r="F64" s="87" t="s">
        <v>68</v>
      </c>
      <c r="G64" s="74"/>
      <c r="Q64" s="42" t="n">
        <v>20</v>
      </c>
    </row>
    <row r="65" customFormat="false" ht="21" hidden="false" customHeight="true" outlineLevel="0" collapsed="false">
      <c r="B65" s="111"/>
      <c r="D65" s="112"/>
      <c r="E65" s="69" t="s">
        <v>69</v>
      </c>
      <c r="F65" s="87" t="s">
        <v>70</v>
      </c>
      <c r="G65" s="74"/>
      <c r="Q65" s="42" t="n">
        <v>20</v>
      </c>
    </row>
    <row r="66" customFormat="false" ht="36.75" hidden="false" customHeight="true" outlineLevel="0" collapsed="false">
      <c r="D66" s="63"/>
      <c r="E66" s="113" t="s">
        <v>71</v>
      </c>
      <c r="F66" s="114"/>
      <c r="G66" s="83"/>
      <c r="Q66" s="42" t="n">
        <v>35</v>
      </c>
    </row>
    <row r="67" customFormat="false" ht="21" hidden="false" customHeight="true" outlineLevel="0" collapsed="false">
      <c r="D67" s="63"/>
      <c r="E67" s="69" t="s">
        <v>72</v>
      </c>
      <c r="F67" s="87" t="s">
        <v>73</v>
      </c>
      <c r="G67" s="74"/>
      <c r="Q67" s="42" t="n">
        <v>20</v>
      </c>
    </row>
    <row r="68" customFormat="false" ht="21" hidden="false" customHeight="true" outlineLevel="0" collapsed="false">
      <c r="B68" s="111"/>
      <c r="D68" s="112"/>
      <c r="E68" s="69" t="s">
        <v>74</v>
      </c>
      <c r="F68" s="87" t="s">
        <v>75</v>
      </c>
      <c r="G68" s="74"/>
      <c r="Q68" s="42" t="n">
        <v>20</v>
      </c>
    </row>
    <row r="69" customFormat="false" ht="21" hidden="false" customHeight="true" outlineLevel="0" collapsed="false">
      <c r="B69" s="111"/>
      <c r="D69" s="112"/>
      <c r="E69" s="69" t="s">
        <v>76</v>
      </c>
      <c r="F69" s="87" t="s">
        <v>77</v>
      </c>
      <c r="G69" s="74"/>
      <c r="Q69" s="42" t="n">
        <v>20</v>
      </c>
    </row>
    <row r="70" customFormat="false" ht="21" hidden="false" customHeight="true" outlineLevel="0" collapsed="false">
      <c r="D70" s="63"/>
      <c r="E70" s="69" t="s">
        <v>78</v>
      </c>
      <c r="F70" s="87" t="s">
        <v>79</v>
      </c>
      <c r="G70" s="83"/>
      <c r="Q70" s="42" t="n">
        <v>20</v>
      </c>
    </row>
    <row r="71" customFormat="false" ht="21" hidden="false" customHeight="true" outlineLevel="0" collapsed="false">
      <c r="D71" s="83"/>
      <c r="F71" s="115"/>
      <c r="G71" s="74"/>
      <c r="Q71" s="42" t="n">
        <v>20</v>
      </c>
    </row>
    <row r="72" customFormat="false" ht="21" hidden="false" customHeight="true" outlineLevel="0" collapsed="false">
      <c r="B72" s="111"/>
      <c r="D72" s="112"/>
      <c r="E72" s="116"/>
      <c r="F72" s="117" t="s">
        <v>13</v>
      </c>
      <c r="G72" s="74"/>
      <c r="Q72" s="42" t="n">
        <v>20</v>
      </c>
    </row>
    <row r="73" customFormat="false" ht="21" hidden="false" customHeight="true" outlineLevel="0" collapsed="false">
      <c r="B73" s="111"/>
      <c r="D73" s="112"/>
      <c r="E73" s="116"/>
      <c r="F73" s="118"/>
      <c r="G73" s="74"/>
      <c r="Q73" s="42" t="n">
        <v>20</v>
      </c>
    </row>
    <row r="74" customFormat="false" ht="21" hidden="false" customHeight="true" outlineLevel="0" collapsed="false">
      <c r="B74" s="111"/>
      <c r="D74" s="112"/>
      <c r="E74" s="119"/>
      <c r="F74" s="118"/>
      <c r="G74" s="74"/>
      <c r="Q74" s="42" t="n">
        <v>20</v>
      </c>
    </row>
    <row r="75" customFormat="false" ht="21" hidden="false" customHeight="true" outlineLevel="0" collapsed="false">
      <c r="B75" s="111"/>
      <c r="D75" s="112"/>
      <c r="E75" s="116"/>
      <c r="F75" s="118"/>
      <c r="G75" s="74"/>
      <c r="Q75" s="42" t="n">
        <v>20</v>
      </c>
    </row>
    <row r="76" customFormat="false" ht="11.25" hidden="false" customHeight="true" outlineLevel="0" collapsed="false">
      <c r="Q76" s="42" t="n">
        <v>11</v>
      </c>
    </row>
    <row r="77" customFormat="false" ht="11.25" hidden="false" customHeight="true" outlineLevel="0" collapsed="false">
      <c r="Q77" s="42" t="n">
        <v>11</v>
      </c>
    </row>
    <row r="78" customFormat="false" ht="11.25" hidden="false" customHeight="true" outlineLevel="0" collapsed="false">
      <c r="E78" s="120"/>
      <c r="F78" s="120"/>
      <c r="G78" s="120"/>
      <c r="H78" s="120"/>
      <c r="I78" s="120"/>
      <c r="Q78" s="42" t="n">
        <v>11</v>
      </c>
    </row>
    <row r="79" customFormat="false" ht="11.25" hidden="true" customHeight="true" outlineLevel="0" collapsed="false">
      <c r="A79" s="39" t="s">
        <v>80</v>
      </c>
      <c r="B79" s="40" t="n">
        <v>0</v>
      </c>
      <c r="C79" s="41" t="n">
        <v>3</v>
      </c>
      <c r="D79" s="42" t="n">
        <v>1</v>
      </c>
      <c r="E79" s="42" t="n">
        <v>55</v>
      </c>
      <c r="F79" s="42" t="n">
        <v>54</v>
      </c>
      <c r="G79" s="43" t="n">
        <v>1</v>
      </c>
      <c r="H79" s="42" t="n">
        <v>0</v>
      </c>
      <c r="I79" s="44" t="n">
        <v>59</v>
      </c>
      <c r="J79" s="45" t="n">
        <v>0</v>
      </c>
      <c r="K79" s="42" t="n">
        <v>8</v>
      </c>
      <c r="L79" s="42" t="n">
        <v>77</v>
      </c>
      <c r="M79" s="42" t="n">
        <v>8</v>
      </c>
      <c r="N79" s="42" t="n">
        <v>8</v>
      </c>
      <c r="O79" s="42" t="n">
        <v>8</v>
      </c>
      <c r="P79" s="42" t="n">
        <v>8</v>
      </c>
      <c r="Q79" s="42" t="n">
        <v>11</v>
      </c>
    </row>
  </sheetData>
  <mergeCells count="3">
    <mergeCell ref="E5:F5"/>
    <mergeCell ref="A11:A12"/>
    <mergeCell ref="J18:J19"/>
  </mergeCells>
  <dataValidations count="13">
    <dataValidation allowBlank="true" error="Допускается ввод не более 900 символов!" errorStyle="stop" errorTitle="Ошибка" operator="lessThanOrEqual" showDropDown="false" showErrorMessage="true" showInputMessage="true" sqref="F22:F24 F27:F29 F32 F64:F65 F67:F70 F72:F75"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0 F39:F41 F43 F45:F47 F49 F51 F53 F56 F58 F6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1:F13 F18:F19 F21 F26" type="none">
      <formula1>0</formula1>
      <formula2>0</formula2>
    </dataValidation>
    <dataValidation allowBlank="true" error="Выберите значение из списка" errorStyle="stop" errorTitle="Ошибка"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false" showErrorMessage="true" showInputMessage="true" sqref="F37" type="list">
      <formula1>kind_of_NDS</formula1>
      <formula2>0</formula2>
    </dataValidation>
    <dataValidation allowBlank="true" errorStyle="stop" operator="between" prompt="Выбор организации двойным щелчком левой клавиши мыши" showDropDown="false" showErrorMessage="true" showInputMessage="true" sqref="F31"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9" type="list">
      <formula1>ROIV_INFO_LIST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60" type="list">
      <formula1>TITLE_IP_DETAILED_METHOD_LIST</formula1>
      <formula2>0</formula2>
    </dataValidation>
    <dataValidation allowBlank="true" errorStyle="stop" operator="between" prompt="Выберите значение из календаря (иконка справа от выбранной ячейки), либо введите дату непосредственно в ячейку в формате - 'ДД.ММ.ГГГГ'" showDropDown="false" showErrorMessage="true" showInputMessage="true" sqref="F5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5" type="list">
      <formula1>QUARTER</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4" type="list">
      <formula1>year_list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6" type="list">
      <formula1>kind_of_org_type</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7" type="list">
      <formula1>kind_of_data_type</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8 F61" type="list">
      <formula1>kind_of_NDS</formula1>
      <formula2>0</formula2>
    </dataValidation>
  </dataValidations>
  <hyperlinks>
    <hyperlink ref="H11" location="Титульный!H9" display="Как заполнить?"/>
    <hyperlink ref="H17" location="Титульный!H9" display="Как заполнить?"/>
    <hyperlink ref="H39" location="Титульный!H9" display="Как заполнить?"/>
    <hyperlink ref="H62" location="Титульный!H9" display="Как заполнить?"/>
  </hyperlinks>
  <printOptions headings="false" gridLines="false" gridLinesSet="true" horizontalCentered="false" verticalCentered="false"/>
  <pageMargins left="0.75" right="0.75" top="0.875" bottom="0.875" header="0.5" footer="0.5"/>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A7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3" width="3"/>
    <col collapsed="false" customWidth="true" hidden="false" outlineLevel="0" max="17" min="17" style="469" width="3"/>
    <col collapsed="false" customWidth="true" hidden="false" outlineLevel="0" max="18" min="18"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3" min="22" style="42" width="21.71"/>
    <col collapsed="false" customWidth="true" hidden="true" outlineLevel="0" max="24" min="24" style="42" width="11.71"/>
    <col collapsed="false" customWidth="true" hidden="true" outlineLevel="0" max="25" min="25" style="42" width="3.71"/>
    <col collapsed="false" customWidth="true" hidden="true" outlineLevel="0" max="26" min="26" style="42" width="11.71"/>
    <col collapsed="false" customWidth="true" hidden="true" outlineLevel="0" max="27" min="27" style="42" width="8.57"/>
    <col collapsed="false" customWidth="true" hidden="false" outlineLevel="0" max="28" min="28" style="42" width="5.43"/>
    <col collapsed="false" customWidth="true" hidden="false" outlineLevel="0" max="30" min="29" style="42" width="3"/>
    <col collapsed="false" customWidth="true" hidden="false" outlineLevel="0" max="31" min="31" style="42" width="24"/>
    <col collapsed="false" customWidth="true" hidden="false" outlineLevel="0" max="32" min="32" style="42" width="3.71"/>
    <col collapsed="false" customWidth="true" hidden="false" outlineLevel="0" max="34" min="33" style="42" width="3"/>
    <col collapsed="false" customWidth="true" hidden="false" outlineLevel="0" max="35" min="35" style="42" width="24"/>
    <col collapsed="false" customWidth="true" hidden="false" outlineLevel="0" max="36" min="36" style="42" width="3.71"/>
    <col collapsed="false" customWidth="true" hidden="false" outlineLevel="0" max="38" min="37" style="42" width="3"/>
    <col collapsed="false" customWidth="true" hidden="false" outlineLevel="0" max="39" min="39" style="42" width="18"/>
    <col collapsed="false" customWidth="true" hidden="false" outlineLevel="0" max="41" min="40" style="42" width="21"/>
    <col collapsed="false" customWidth="true" hidden="false" outlineLevel="0" max="42" min="42" style="42" width="11"/>
    <col collapsed="false" customWidth="true" hidden="false" outlineLevel="0" max="43" min="43" style="42" width="3.71"/>
    <col collapsed="false" customWidth="true" hidden="false" outlineLevel="0" max="44" min="44" style="42" width="11"/>
    <col collapsed="false" customWidth="true" hidden="true" outlineLevel="0" max="45" min="45" style="42" width="8.57"/>
    <col collapsed="false" customWidth="true" hidden="false" outlineLevel="0" max="46" min="46" style="42" width="4"/>
    <col collapsed="false" customWidth="true" hidden="false" outlineLevel="0" max="47" min="47" style="42" width="115"/>
    <col collapsed="false" customWidth="true" hidden="false" outlineLevel="0" max="52" min="48" style="49" width="10"/>
    <col collapsed="false" customWidth="false" hidden="true" outlineLevel="0" max="53" min="53" style="42" width="10.57"/>
  </cols>
  <sheetData>
    <row r="1" customFormat="false" ht="22.5" hidden="true" customHeight="true" outlineLevel="0" collapsed="false">
      <c r="BA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56"/>
      <c r="R2" s="421"/>
      <c r="S2" s="422" t="e">
        <f aca="false">INDEX(PT_DIFFERENTIATION_NUM_NTAR,MATCH(A2,PT_DIFFERENTIATION_NTAR_ID,0))</f>
        <v>#N/A</v>
      </c>
      <c r="T2" s="423" t="s">
        <v>122</v>
      </c>
      <c r="U2" s="424"/>
      <c r="V2" s="541"/>
      <c r="W2" s="541"/>
      <c r="X2" s="541"/>
      <c r="Y2" s="541"/>
      <c r="Z2" s="541"/>
      <c r="AA2" s="541"/>
      <c r="AB2" s="426" t="e">
        <f aca="false">INDEX(PT_DIFFERENTIATION_NTAR,MATCH(A2,PT_DIFFERENTIATION_NTAR_ID,0))</f>
        <v>#N/A</v>
      </c>
      <c r="AC2" s="426"/>
      <c r="AD2" s="426"/>
      <c r="AE2" s="426"/>
      <c r="AF2" s="426"/>
      <c r="AG2" s="426"/>
      <c r="AH2" s="426"/>
      <c r="AI2" s="426"/>
      <c r="AJ2" s="426"/>
      <c r="AK2" s="426"/>
      <c r="AL2" s="426"/>
      <c r="AM2" s="426"/>
      <c r="AN2" s="426"/>
      <c r="AO2" s="426"/>
      <c r="AP2" s="426"/>
      <c r="AQ2" s="426"/>
      <c r="AR2" s="426"/>
      <c r="AS2" s="426"/>
      <c r="AT2" s="426"/>
      <c r="AU2" s="427" t="s">
        <v>393</v>
      </c>
      <c r="AW2" s="122"/>
      <c r="AX2" s="122" t="str">
        <f aca="false">IF(T2="","",T2)</f>
        <v>Наименование тарифа</v>
      </c>
      <c r="AY2" s="122"/>
      <c r="AZ2" s="122"/>
      <c r="BA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107"/>
      <c r="Q3" s="542"/>
      <c r="R3" s="429"/>
      <c r="S3" s="422" t="e">
        <f aca="false">INDEX(PT_DIFFERENTIATION_NUM_TER,MATCH(B3,PT_DIFFERENTIATION_TER_ID,0))</f>
        <v>#N/A</v>
      </c>
      <c r="T3" s="430" t="s">
        <v>394</v>
      </c>
      <c r="U3" s="424"/>
      <c r="V3" s="541"/>
      <c r="W3" s="541"/>
      <c r="X3" s="541"/>
      <c r="Y3" s="541"/>
      <c r="Z3" s="541"/>
      <c r="AA3" s="541"/>
      <c r="AB3" s="426" t="e">
        <f aca="false">INDEX(PT_DIFFERENTIATION_TER,MATCH(B3,PT_DIFFERENTIATION_TER_ID,0))</f>
        <v>#N/A</v>
      </c>
      <c r="AC3" s="426"/>
      <c r="AD3" s="426"/>
      <c r="AE3" s="426"/>
      <c r="AF3" s="426"/>
      <c r="AG3" s="426"/>
      <c r="AH3" s="426"/>
      <c r="AI3" s="426"/>
      <c r="AJ3" s="426"/>
      <c r="AK3" s="426"/>
      <c r="AL3" s="426"/>
      <c r="AM3" s="426"/>
      <c r="AN3" s="426"/>
      <c r="AO3" s="426"/>
      <c r="AP3" s="426"/>
      <c r="AQ3" s="426"/>
      <c r="AR3" s="426"/>
      <c r="AS3" s="426"/>
      <c r="AT3" s="426"/>
      <c r="AU3" s="427" t="s">
        <v>395</v>
      </c>
      <c r="AW3" s="122"/>
      <c r="AX3" s="122" t="str">
        <f aca="false">IF(T3="","",T3)</f>
        <v>Территория действия тарифа</v>
      </c>
      <c r="AY3" s="122"/>
      <c r="AZ3" s="122"/>
      <c r="BA3" s="42" t="n">
        <v>0</v>
      </c>
    </row>
    <row r="4" customFormat="false" ht="22.5" hidden="true" customHeight="true" outlineLevel="0" collapsed="false">
      <c r="A4" s="417"/>
      <c r="B4" s="417"/>
      <c r="C4" s="417"/>
      <c r="D4" s="417"/>
      <c r="E4" s="418"/>
      <c r="F4" s="418"/>
      <c r="G4" s="418" t="n">
        <v>1</v>
      </c>
      <c r="H4" s="417"/>
      <c r="I4" s="417"/>
      <c r="J4" s="417"/>
      <c r="K4" s="417"/>
      <c r="L4" s="419"/>
      <c r="M4" s="420"/>
      <c r="N4" s="420"/>
      <c r="O4" s="420"/>
      <c r="P4" s="131"/>
      <c r="Q4" s="542"/>
      <c r="R4" s="429"/>
      <c r="S4" s="422" t="e">
        <f aca="false">INDEX(PT_DIFFERENTIATION_NUM_CS,MATCH(C4,PT_DIFFERENTIATION_CS_ID,0))</f>
        <v>#N/A</v>
      </c>
      <c r="T4" s="432" t="s">
        <v>396</v>
      </c>
      <c r="U4" s="424"/>
      <c r="V4" s="541"/>
      <c r="W4" s="541"/>
      <c r="X4" s="541"/>
      <c r="Y4" s="541"/>
      <c r="Z4" s="541"/>
      <c r="AA4" s="541"/>
      <c r="AB4" s="426" t="e">
        <f aca="false">INDEX(PT_DIFFERENTIATION_CS,MATCH(C4,PT_DIFFERENTIATION_CS_ID,0))</f>
        <v>#N/A</v>
      </c>
      <c r="AC4" s="426"/>
      <c r="AD4" s="426"/>
      <c r="AE4" s="426"/>
      <c r="AF4" s="426"/>
      <c r="AG4" s="426"/>
      <c r="AH4" s="426"/>
      <c r="AI4" s="426"/>
      <c r="AJ4" s="426"/>
      <c r="AK4" s="426"/>
      <c r="AL4" s="426"/>
      <c r="AM4" s="426"/>
      <c r="AN4" s="426"/>
      <c r="AO4" s="426"/>
      <c r="AP4" s="426"/>
      <c r="AQ4" s="426"/>
      <c r="AR4" s="426"/>
      <c r="AS4" s="426"/>
      <c r="AT4" s="426"/>
      <c r="AU4" s="427" t="s">
        <v>397</v>
      </c>
      <c r="AW4" s="122"/>
      <c r="AX4" s="122" t="str">
        <f aca="false">IF(T4="","",T4)</f>
        <v>Наименование системы теплоснабжения </v>
      </c>
      <c r="AY4" s="122"/>
      <c r="AZ4" s="122"/>
      <c r="BA4" s="42" t="n">
        <v>0</v>
      </c>
    </row>
    <row r="5" customFormat="false" ht="21" hidden="true" customHeight="true" outlineLevel="0" collapsed="false">
      <c r="A5" s="417"/>
      <c r="B5" s="417"/>
      <c r="C5" s="417"/>
      <c r="D5" s="417"/>
      <c r="E5" s="418"/>
      <c r="F5" s="418"/>
      <c r="G5" s="418"/>
      <c r="H5" s="418" t="n">
        <v>1</v>
      </c>
      <c r="I5" s="417"/>
      <c r="J5" s="417"/>
      <c r="K5" s="417"/>
      <c r="L5" s="419"/>
      <c r="M5" s="420"/>
      <c r="N5" s="420"/>
      <c r="O5" s="420"/>
      <c r="P5" s="131"/>
      <c r="Q5" s="542"/>
      <c r="R5" s="429"/>
      <c r="S5" s="422" t="e">
        <f aca="false">INDEX(PT_DIFFERENTIATION_NUM_IST_TE,MATCH(D5,PT_DIFFERENTIATION_IST_TE_ID,0))</f>
        <v>#N/A</v>
      </c>
      <c r="T5" s="433" t="s">
        <v>398</v>
      </c>
      <c r="U5" s="424"/>
      <c r="V5" s="541"/>
      <c r="W5" s="541"/>
      <c r="X5" s="541"/>
      <c r="Y5" s="541"/>
      <c r="Z5" s="541"/>
      <c r="AA5" s="541"/>
      <c r="AB5" s="426" t="e">
        <f aca="false">INDEX(PT_DIFFERENTIATION_IST_TE,MATCH(D5,PT_DIFFERENTIATION_IST_TE_ID,0))</f>
        <v>#N/A</v>
      </c>
      <c r="AC5" s="426"/>
      <c r="AD5" s="426"/>
      <c r="AE5" s="426"/>
      <c r="AF5" s="426"/>
      <c r="AG5" s="426"/>
      <c r="AH5" s="426"/>
      <c r="AI5" s="426"/>
      <c r="AJ5" s="426"/>
      <c r="AK5" s="426"/>
      <c r="AL5" s="426"/>
      <c r="AM5" s="426"/>
      <c r="AN5" s="426"/>
      <c r="AO5" s="426"/>
      <c r="AP5" s="426"/>
      <c r="AQ5" s="426"/>
      <c r="AR5" s="426"/>
      <c r="AS5" s="426"/>
      <c r="AT5" s="426"/>
      <c r="AU5" s="427" t="s">
        <v>399</v>
      </c>
      <c r="AW5" s="122"/>
      <c r="AX5" s="122" t="str">
        <f aca="false">IF(T5="","",T5)</f>
        <v>Источник тепловой энергии  </v>
      </c>
      <c r="AY5" s="122"/>
      <c r="AZ5" s="122"/>
      <c r="BA5" s="42" t="n">
        <v>0</v>
      </c>
    </row>
    <row r="6" s="49" customFormat="true" ht="0.75" hidden="true" customHeight="true" outlineLevel="0" collapsed="false">
      <c r="A6" s="126"/>
      <c r="B6" s="126"/>
      <c r="C6" s="126"/>
      <c r="D6" s="126"/>
      <c r="E6" s="418"/>
      <c r="F6" s="418"/>
      <c r="G6" s="418"/>
      <c r="H6" s="418"/>
      <c r="I6" s="434" t="e">
        <f aca="false">S5&amp;".1"</f>
        <v>#N/A</v>
      </c>
      <c r="J6" s="126"/>
      <c r="K6" s="126"/>
      <c r="L6" s="194" t="s">
        <v>400</v>
      </c>
      <c r="M6" s="515"/>
      <c r="N6" s="515"/>
      <c r="O6" s="515"/>
      <c r="P6" s="125" t="n">
        <v>1</v>
      </c>
      <c r="Q6" s="125"/>
      <c r="R6" s="435"/>
      <c r="S6" s="299"/>
      <c r="T6" s="507"/>
      <c r="U6" s="508"/>
      <c r="V6" s="543"/>
      <c r="W6" s="543"/>
      <c r="X6" s="543"/>
      <c r="Y6" s="543"/>
      <c r="Z6" s="543"/>
      <c r="AA6" s="543"/>
      <c r="AB6" s="509"/>
      <c r="AC6" s="509"/>
      <c r="AD6" s="509"/>
      <c r="AE6" s="509"/>
      <c r="AF6" s="509"/>
      <c r="AG6" s="509"/>
      <c r="AH6" s="509"/>
      <c r="AI6" s="509"/>
      <c r="AJ6" s="509"/>
      <c r="AK6" s="509"/>
      <c r="AL6" s="509"/>
      <c r="AM6" s="509"/>
      <c r="AN6" s="509"/>
      <c r="AO6" s="509"/>
      <c r="AP6" s="509"/>
      <c r="AQ6" s="509"/>
      <c r="AR6" s="509"/>
      <c r="AS6" s="509"/>
      <c r="AT6" s="509"/>
      <c r="AU6" s="510"/>
      <c r="AW6" s="122"/>
      <c r="AX6" s="122" t="str">
        <f aca="false">IF(T6="","",T6)</f>
        <v/>
      </c>
      <c r="AY6" s="122"/>
      <c r="AZ6" s="122"/>
      <c r="BA6" s="49" t="n">
        <v>0</v>
      </c>
    </row>
    <row r="7" s="49" customFormat="true" ht="0.75" hidden="true" customHeight="true" outlineLevel="0" collapsed="false">
      <c r="A7" s="126"/>
      <c r="B7" s="126"/>
      <c r="C7" s="126"/>
      <c r="D7" s="126"/>
      <c r="E7" s="418"/>
      <c r="F7" s="418"/>
      <c r="G7" s="418"/>
      <c r="H7" s="418"/>
      <c r="I7" s="434"/>
      <c r="J7" s="434" t="e">
        <f aca="false">S5&amp;".1"</f>
        <v>#N/A</v>
      </c>
      <c r="K7" s="126"/>
      <c r="L7" s="194"/>
      <c r="M7" s="515"/>
      <c r="N7" s="515"/>
      <c r="O7" s="515"/>
      <c r="P7" s="125"/>
      <c r="Q7" s="125" t="n">
        <v>1</v>
      </c>
      <c r="R7" s="438"/>
      <c r="S7" s="299"/>
      <c r="T7" s="544"/>
      <c r="U7" s="508"/>
      <c r="V7" s="543"/>
      <c r="W7" s="543"/>
      <c r="X7" s="543"/>
      <c r="Y7" s="543"/>
      <c r="Z7" s="543"/>
      <c r="AA7" s="543"/>
      <c r="AB7" s="509"/>
      <c r="AC7" s="509"/>
      <c r="AD7" s="509"/>
      <c r="AE7" s="509"/>
      <c r="AF7" s="509"/>
      <c r="AG7" s="509"/>
      <c r="AH7" s="509"/>
      <c r="AI7" s="509"/>
      <c r="AJ7" s="509"/>
      <c r="AK7" s="509"/>
      <c r="AL7" s="509"/>
      <c r="AM7" s="509"/>
      <c r="AN7" s="509"/>
      <c r="AO7" s="509"/>
      <c r="AP7" s="509"/>
      <c r="AQ7" s="509"/>
      <c r="AR7" s="509"/>
      <c r="AS7" s="509"/>
      <c r="AT7" s="509"/>
      <c r="AU7" s="510"/>
      <c r="AW7" s="122"/>
      <c r="AX7" s="122" t="str">
        <f aca="false">IF(T7="","",T7)</f>
        <v/>
      </c>
      <c r="AY7" s="122"/>
      <c r="AZ7" s="122"/>
      <c r="BA7" s="49" t="n">
        <v>0</v>
      </c>
    </row>
    <row r="8" customFormat="false" ht="21" hidden="true" customHeight="true" outlineLevel="0" collapsed="false">
      <c r="A8" s="417"/>
      <c r="B8" s="417"/>
      <c r="C8" s="417"/>
      <c r="D8" s="417"/>
      <c r="E8" s="418"/>
      <c r="F8" s="418"/>
      <c r="G8" s="418"/>
      <c r="H8" s="418"/>
      <c r="I8" s="434"/>
      <c r="J8" s="434"/>
      <c r="K8" s="434" t="e">
        <f aca="false">S5&amp;".1"</f>
        <v>#N/A</v>
      </c>
      <c r="L8" s="419"/>
      <c r="P8" s="125"/>
      <c r="Q8" s="125"/>
      <c r="R8" s="545" t="n">
        <v>1</v>
      </c>
      <c r="S8" s="422" t="e">
        <f aca="false">$K8</f>
        <v>#N/A</v>
      </c>
      <c r="T8" s="546"/>
      <c r="U8" s="424"/>
      <c r="V8" s="441"/>
      <c r="W8" s="443"/>
      <c r="X8" s="444"/>
      <c r="Y8" s="206" t="s">
        <v>64</v>
      </c>
      <c r="Z8" s="444"/>
      <c r="AA8" s="206" t="s">
        <v>64</v>
      </c>
      <c r="AB8" s="206" t="s">
        <v>19</v>
      </c>
      <c r="AC8" s="547"/>
      <c r="AD8" s="295" t="n">
        <v>1</v>
      </c>
      <c r="AE8" s="78"/>
      <c r="AF8" s="206" t="s">
        <v>19</v>
      </c>
      <c r="AG8" s="547"/>
      <c r="AH8" s="295" t="n">
        <v>1</v>
      </c>
      <c r="AI8" s="78"/>
      <c r="AJ8" s="206" t="s">
        <v>19</v>
      </c>
      <c r="AK8" s="548"/>
      <c r="AL8" s="295" t="n">
        <v>1</v>
      </c>
      <c r="AM8" s="109"/>
      <c r="AN8" s="441"/>
      <c r="AO8" s="443"/>
      <c r="AP8" s="444"/>
      <c r="AQ8" s="206" t="s">
        <v>64</v>
      </c>
      <c r="AR8" s="444"/>
      <c r="AS8" s="206" t="s">
        <v>64</v>
      </c>
      <c r="AT8" s="493"/>
      <c r="AU8" s="445" t="s">
        <v>461</v>
      </c>
      <c r="AV8" s="49" t="e">
        <f aca="false">strcheckdate(V11:AT11)</f>
        <v>#NAME?</v>
      </c>
      <c r="AW8" s="122"/>
      <c r="AX8" s="122" t="str">
        <f aca="false">IF(T8="","",T8)</f>
        <v/>
      </c>
      <c r="AY8" s="122"/>
      <c r="AZ8" s="122"/>
      <c r="BA8" s="42" t="n">
        <v>0</v>
      </c>
    </row>
    <row r="9" customFormat="false" ht="11.25" hidden="true" customHeight="true" outlineLevel="0" collapsed="false">
      <c r="A9" s="417"/>
      <c r="B9" s="417"/>
      <c r="C9" s="417"/>
      <c r="D9" s="417"/>
      <c r="E9" s="418"/>
      <c r="F9" s="418"/>
      <c r="G9" s="418"/>
      <c r="H9" s="418"/>
      <c r="I9" s="434"/>
      <c r="J9" s="434"/>
      <c r="K9" s="434"/>
      <c r="L9" s="419"/>
      <c r="P9" s="125"/>
      <c r="Q9" s="125"/>
      <c r="R9" s="545"/>
      <c r="S9" s="422"/>
      <c r="T9" s="546"/>
      <c r="U9" s="424"/>
      <c r="V9" s="537"/>
      <c r="W9" s="549"/>
      <c r="X9" s="444"/>
      <c r="Y9" s="206"/>
      <c r="Z9" s="444"/>
      <c r="AA9" s="206"/>
      <c r="AB9" s="206"/>
      <c r="AC9" s="547"/>
      <c r="AD9" s="295"/>
      <c r="AE9" s="78"/>
      <c r="AF9" s="206"/>
      <c r="AG9" s="547"/>
      <c r="AH9" s="295"/>
      <c r="AI9" s="78"/>
      <c r="AJ9" s="206"/>
      <c r="AK9" s="550"/>
      <c r="AL9" s="170"/>
      <c r="AM9" s="165" t="s">
        <v>462</v>
      </c>
      <c r="AN9" s="537"/>
      <c r="AO9" s="551"/>
      <c r="AP9" s="537"/>
      <c r="AQ9" s="537"/>
      <c r="AR9" s="537"/>
      <c r="AS9" s="537"/>
      <c r="AT9" s="552"/>
      <c r="AU9" s="445"/>
      <c r="AW9" s="122"/>
      <c r="AX9" s="122"/>
      <c r="AY9" s="122"/>
      <c r="AZ9" s="122"/>
      <c r="BA9" s="42" t="n">
        <v>0</v>
      </c>
    </row>
    <row r="10" customFormat="false" ht="11.25" hidden="true" customHeight="true" outlineLevel="0" collapsed="false">
      <c r="A10" s="417"/>
      <c r="B10" s="417"/>
      <c r="C10" s="417"/>
      <c r="D10" s="417"/>
      <c r="E10" s="418"/>
      <c r="F10" s="418"/>
      <c r="G10" s="418"/>
      <c r="H10" s="418"/>
      <c r="I10" s="434"/>
      <c r="J10" s="434"/>
      <c r="K10" s="434"/>
      <c r="L10" s="419"/>
      <c r="P10" s="125"/>
      <c r="Q10" s="125"/>
      <c r="R10" s="545"/>
      <c r="S10" s="422"/>
      <c r="T10" s="546"/>
      <c r="U10" s="424"/>
      <c r="V10" s="537"/>
      <c r="W10" s="549"/>
      <c r="X10" s="444"/>
      <c r="Y10" s="206"/>
      <c r="Z10" s="444"/>
      <c r="AA10" s="206"/>
      <c r="AB10" s="206"/>
      <c r="AC10" s="547"/>
      <c r="AD10" s="295"/>
      <c r="AE10" s="78"/>
      <c r="AF10" s="206"/>
      <c r="AG10" s="553"/>
      <c r="AH10" s="165"/>
      <c r="AI10" s="165" t="s">
        <v>463</v>
      </c>
      <c r="AJ10" s="537"/>
      <c r="AK10" s="537"/>
      <c r="AL10" s="537"/>
      <c r="AM10" s="537"/>
      <c r="AN10" s="537"/>
      <c r="AO10" s="551"/>
      <c r="AP10" s="537"/>
      <c r="AQ10" s="537"/>
      <c r="AR10" s="537"/>
      <c r="AS10" s="537"/>
      <c r="AT10" s="552"/>
      <c r="AU10" s="445"/>
      <c r="AW10" s="122"/>
      <c r="AX10" s="122"/>
      <c r="AY10" s="122"/>
      <c r="AZ10" s="122"/>
      <c r="BA10" s="42" t="n">
        <v>0</v>
      </c>
    </row>
    <row r="11" customFormat="false" ht="11.25" hidden="true" customHeight="true" outlineLevel="0" collapsed="false">
      <c r="A11" s="417"/>
      <c r="B11" s="417"/>
      <c r="C11" s="417"/>
      <c r="D11" s="417"/>
      <c r="E11" s="418"/>
      <c r="F11" s="418"/>
      <c r="G11" s="418"/>
      <c r="H11" s="418"/>
      <c r="I11" s="434"/>
      <c r="J11" s="434"/>
      <c r="K11" s="434"/>
      <c r="L11" s="419"/>
      <c r="P11" s="125"/>
      <c r="Q11" s="125"/>
      <c r="R11" s="545"/>
      <c r="S11" s="422"/>
      <c r="T11" s="546"/>
      <c r="U11" s="424"/>
      <c r="V11" s="537"/>
      <c r="W11" s="554" t="str">
        <f aca="false">X8&amp;"-"&amp;Z8</f>
        <v>-</v>
      </c>
      <c r="X11" s="444"/>
      <c r="Y11" s="206"/>
      <c r="Z11" s="444"/>
      <c r="AA11" s="206"/>
      <c r="AB11" s="206"/>
      <c r="AC11" s="555"/>
      <c r="AD11" s="556"/>
      <c r="AE11" s="165" t="s">
        <v>464</v>
      </c>
      <c r="AF11" s="537"/>
      <c r="AG11" s="537"/>
      <c r="AH11" s="537"/>
      <c r="AI11" s="537"/>
      <c r="AJ11" s="537"/>
      <c r="AK11" s="537"/>
      <c r="AL11" s="537"/>
      <c r="AM11" s="537"/>
      <c r="AN11" s="537"/>
      <c r="AO11" s="538" t="str">
        <f aca="false">AP8&amp;"-"&amp;AR8</f>
        <v>-</v>
      </c>
      <c r="AP11" s="537"/>
      <c r="AQ11" s="537"/>
      <c r="AR11" s="537"/>
      <c r="AS11" s="537"/>
      <c r="AT11" s="494"/>
      <c r="AU11" s="445"/>
      <c r="AW11" s="122"/>
      <c r="AX11" s="122" t="str">
        <f aca="false">IF(T11="","",T11)</f>
        <v/>
      </c>
      <c r="AY11" s="122"/>
      <c r="AZ11" s="122"/>
      <c r="BA11" s="42" t="n">
        <v>0</v>
      </c>
    </row>
    <row r="12" customFormat="false" ht="11.25" hidden="true" customHeight="true" outlineLevel="0" collapsed="false">
      <c r="A12" s="417"/>
      <c r="B12" s="417"/>
      <c r="C12" s="417"/>
      <c r="D12" s="417"/>
      <c r="E12" s="418"/>
      <c r="F12" s="418"/>
      <c r="G12" s="418"/>
      <c r="H12" s="418"/>
      <c r="I12" s="434"/>
      <c r="J12" s="434"/>
      <c r="K12" s="417"/>
      <c r="L12" s="419"/>
      <c r="P12" s="125"/>
      <c r="Q12" s="125"/>
      <c r="R12" s="435"/>
      <c r="S12" s="447"/>
      <c r="T12" s="450" t="s">
        <v>465</v>
      </c>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449"/>
      <c r="AU12" s="445"/>
      <c r="AW12" s="122"/>
      <c r="AX12" s="122" t="str">
        <f aca="false">IF(T12="","",T12)</f>
        <v>Добавить строку</v>
      </c>
      <c r="AY12" s="122"/>
      <c r="AZ12" s="122"/>
      <c r="BA12" s="42" t="n">
        <v>0</v>
      </c>
    </row>
    <row r="13" s="49" customFormat="true" ht="0.75" hidden="true" customHeight="true" outlineLevel="0" collapsed="false">
      <c r="A13" s="126"/>
      <c r="B13" s="126"/>
      <c r="C13" s="126"/>
      <c r="D13" s="126"/>
      <c r="E13" s="418"/>
      <c r="F13" s="418"/>
      <c r="G13" s="418"/>
      <c r="H13" s="418"/>
      <c r="I13" s="434"/>
      <c r="J13" s="126"/>
      <c r="K13" s="126"/>
      <c r="L13" s="194"/>
      <c r="M13" s="515"/>
      <c r="N13" s="515"/>
      <c r="O13" s="515"/>
      <c r="P13" s="125"/>
      <c r="Q13" s="125"/>
      <c r="R13" s="435"/>
      <c r="S13" s="511"/>
      <c r="T13" s="512"/>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4"/>
      <c r="AW13" s="122"/>
      <c r="AX13" s="122" t="str">
        <f aca="false">IF(T13="","",T13)</f>
        <v/>
      </c>
      <c r="AY13" s="122"/>
      <c r="AZ13" s="122"/>
      <c r="BA13" s="49" t="n">
        <v>0</v>
      </c>
    </row>
    <row r="14" s="49" customFormat="true" ht="0.75" hidden="true" customHeight="true" outlineLevel="0" collapsed="false">
      <c r="A14" s="126"/>
      <c r="B14" s="126"/>
      <c r="C14" s="126"/>
      <c r="D14" s="126"/>
      <c r="E14" s="418"/>
      <c r="F14" s="418"/>
      <c r="G14" s="418"/>
      <c r="H14" s="418"/>
      <c r="I14" s="126"/>
      <c r="J14" s="126"/>
      <c r="K14" s="126"/>
      <c r="L14" s="194"/>
      <c r="M14" s="402"/>
      <c r="N14" s="402"/>
      <c r="P14" s="160"/>
      <c r="Q14" s="455"/>
      <c r="R14" s="557"/>
      <c r="S14" s="511"/>
      <c r="T14" s="512"/>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4"/>
      <c r="AW14" s="122"/>
      <c r="AX14" s="122" t="str">
        <f aca="false">IF(T14="","",T14)</f>
        <v/>
      </c>
      <c r="AY14" s="122"/>
      <c r="AZ14" s="122"/>
      <c r="BA14" s="49" t="n">
        <v>0</v>
      </c>
    </row>
    <row r="15" s="49" customFormat="true" ht="0.75" hidden="true" customHeight="true" outlineLevel="0" collapsed="false">
      <c r="A15" s="126"/>
      <c r="B15" s="126"/>
      <c r="C15" s="126"/>
      <c r="D15" s="126"/>
      <c r="E15" s="418"/>
      <c r="F15" s="418"/>
      <c r="G15" s="418"/>
      <c r="H15" s="126"/>
      <c r="I15" s="126"/>
      <c r="J15" s="126"/>
      <c r="K15" s="126"/>
      <c r="L15" s="194"/>
      <c r="M15" s="402"/>
      <c r="N15" s="402"/>
      <c r="P15" s="160"/>
      <c r="Q15" s="455"/>
      <c r="R15" s="160"/>
      <c r="S15" s="460"/>
      <c r="T15" s="463" t="s">
        <v>411</v>
      </c>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W15" s="122"/>
      <c r="AX15" s="122" t="str">
        <f aca="false">IF(T15="","",T15)</f>
        <v>Добавить источник для дифференциации</v>
      </c>
      <c r="AY15" s="122"/>
      <c r="AZ15" s="122"/>
      <c r="BA15" s="49" t="n">
        <v>0</v>
      </c>
    </row>
    <row r="16" s="49" customFormat="true" ht="0.75" hidden="true" customHeight="true" outlineLevel="0" collapsed="false">
      <c r="A16" s="126"/>
      <c r="B16" s="126"/>
      <c r="C16" s="126"/>
      <c r="D16" s="126"/>
      <c r="E16" s="418"/>
      <c r="F16" s="418"/>
      <c r="G16" s="126"/>
      <c r="H16" s="126"/>
      <c r="I16" s="126"/>
      <c r="J16" s="126"/>
      <c r="K16" s="126"/>
      <c r="L16" s="194"/>
      <c r="M16" s="459"/>
      <c r="N16" s="459"/>
      <c r="P16" s="160"/>
      <c r="Q16" s="455"/>
      <c r="R16" s="160"/>
      <c r="S16" s="460"/>
      <c r="T16" s="463" t="s">
        <v>412</v>
      </c>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W16" s="122"/>
      <c r="AX16" s="122" t="str">
        <f aca="false">IF(T16="","",T16)</f>
        <v>Добавить централизованную систему для дифференциации</v>
      </c>
      <c r="AY16" s="122"/>
      <c r="AZ16" s="122"/>
      <c r="BA16" s="49" t="n">
        <v>0</v>
      </c>
    </row>
    <row r="17" s="49" customFormat="true" ht="0.75" hidden="true" customHeight="true" outlineLevel="0" collapsed="false">
      <c r="A17" s="126"/>
      <c r="B17" s="126"/>
      <c r="C17" s="126"/>
      <c r="D17" s="126"/>
      <c r="E17" s="418"/>
      <c r="F17" s="126"/>
      <c r="G17" s="126"/>
      <c r="H17" s="126"/>
      <c r="I17" s="126"/>
      <c r="J17" s="126"/>
      <c r="K17" s="126"/>
      <c r="L17" s="194"/>
      <c r="M17" s="459"/>
      <c r="N17" s="459"/>
      <c r="P17" s="160"/>
      <c r="Q17" s="455"/>
      <c r="R17" s="160"/>
      <c r="S17" s="460"/>
      <c r="T17" s="463" t="s">
        <v>413</v>
      </c>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W17" s="122"/>
      <c r="AX17" s="122" t="str">
        <f aca="false">IF(T17="","",T17)</f>
        <v>Добавить территорию для дифференциации</v>
      </c>
      <c r="AY17" s="122"/>
      <c r="AZ17" s="122"/>
      <c r="BA17" s="49" t="n">
        <v>0</v>
      </c>
    </row>
    <row r="18" customFormat="false" ht="14.25" hidden="true" customHeight="true" outlineLevel="0" collapsed="false">
      <c r="BA18" s="42" t="n">
        <v>0</v>
      </c>
    </row>
    <row r="19" customFormat="false" ht="14.25" hidden="true" customHeight="true" outlineLevel="0" collapsed="false">
      <c r="AB19" s="462" t="s">
        <v>19</v>
      </c>
      <c r="AC19" s="558"/>
      <c r="AD19" s="462" t="n">
        <v>1</v>
      </c>
      <c r="AE19" s="559"/>
      <c r="AF19" s="462" t="s">
        <v>19</v>
      </c>
      <c r="AG19" s="558"/>
      <c r="AH19" s="462" t="n">
        <v>1</v>
      </c>
      <c r="AI19" s="559"/>
      <c r="AJ19" s="462" t="s">
        <v>19</v>
      </c>
      <c r="AK19" s="560"/>
      <c r="AL19" s="462" t="n">
        <v>1</v>
      </c>
      <c r="AM19" s="561"/>
      <c r="AN19" s="562"/>
      <c r="AO19" s="563"/>
      <c r="AP19" s="564"/>
      <c r="AQ19" s="565" t="s">
        <v>64</v>
      </c>
      <c r="AR19" s="564"/>
      <c r="AS19" s="565" t="s">
        <v>64</v>
      </c>
      <c r="BA19" s="42" t="n">
        <v>0</v>
      </c>
    </row>
    <row r="20" customFormat="false" ht="14.25" hidden="true" customHeight="true" outlineLevel="0" collapsed="false">
      <c r="AV20" s="124"/>
      <c r="AW20" s="124"/>
      <c r="AX20" s="124"/>
      <c r="AY20" s="124"/>
      <c r="AZ20" s="124"/>
      <c r="BA20" s="42" t="n">
        <v>0</v>
      </c>
    </row>
    <row r="21" customFormat="false" ht="14.25" hidden="true" customHeight="true" outlineLevel="0" collapsed="false">
      <c r="O21" s="468" t="s">
        <v>414</v>
      </c>
      <c r="X21" s="502"/>
      <c r="Z21" s="502"/>
      <c r="AP21" s="502"/>
      <c r="AR21" s="502"/>
      <c r="AV21" s="124"/>
      <c r="AW21" s="124"/>
      <c r="AX21" s="124"/>
      <c r="AY21" s="124"/>
      <c r="AZ21" s="124"/>
      <c r="BA21" s="42" t="n">
        <v>0</v>
      </c>
    </row>
    <row r="22" customFormat="false" ht="14.25" hidden="true" customHeight="true" outlineLevel="0" collapsed="false">
      <c r="AV22" s="124"/>
      <c r="AW22" s="124"/>
      <c r="AX22" s="124"/>
      <c r="AY22" s="124"/>
      <c r="AZ22" s="124"/>
      <c r="BA22" s="42" t="n">
        <v>0</v>
      </c>
    </row>
    <row r="23" s="566" customFormat="true" ht="14.25" hidden="true" customHeight="true" outlineLevel="0" collapsed="false">
      <c r="M23" s="567"/>
      <c r="N23" s="567"/>
      <c r="O23" s="566" t="s">
        <v>415</v>
      </c>
      <c r="P23" s="567"/>
      <c r="Q23" s="568"/>
      <c r="R23" s="568"/>
      <c r="Y23" s="566" t="s">
        <v>417</v>
      </c>
      <c r="AA23" s="566" t="s">
        <v>418</v>
      </c>
      <c r="AB23" s="566" t="s">
        <v>466</v>
      </c>
      <c r="AE23" s="566" t="s">
        <v>467</v>
      </c>
      <c r="AF23" s="566" t="s">
        <v>466</v>
      </c>
      <c r="AI23" s="566" t="s">
        <v>468</v>
      </c>
      <c r="AJ23" s="566" t="s">
        <v>466</v>
      </c>
      <c r="AM23" s="566" t="s">
        <v>469</v>
      </c>
      <c r="AQ23" s="566" t="s">
        <v>417</v>
      </c>
      <c r="AS23" s="566" t="s">
        <v>418</v>
      </c>
      <c r="AV23" s="569"/>
      <c r="AW23" s="569"/>
      <c r="AX23" s="569"/>
      <c r="AY23" s="569"/>
      <c r="AZ23" s="569"/>
      <c r="BA23" s="566" t="n">
        <v>0</v>
      </c>
    </row>
    <row r="24" customFormat="false" ht="14.25" hidden="true" customHeight="true" outlineLevel="0" collapsed="false">
      <c r="O24" s="419"/>
      <c r="AV24" s="124"/>
      <c r="AW24" s="124"/>
      <c r="AX24" s="124"/>
      <c r="AY24" s="124"/>
      <c r="AZ24" s="124"/>
      <c r="BA24" s="42" t="n">
        <v>0</v>
      </c>
    </row>
    <row r="25" customFormat="false" ht="14.25" hidden="true" customHeight="true" outlineLevel="0" collapsed="false">
      <c r="O25" s="419"/>
      <c r="AV25" s="124"/>
      <c r="AW25" s="124"/>
      <c r="AX25" s="124"/>
      <c r="AY25" s="124"/>
      <c r="AZ25" s="124"/>
      <c r="BA25" s="42" t="n">
        <v>0</v>
      </c>
    </row>
    <row r="26" customFormat="false" ht="14.25" hidden="false" customHeight="true" outlineLevel="0" collapsed="false">
      <c r="Q26" s="570"/>
      <c r="R26" s="470"/>
      <c r="S26" s="471"/>
      <c r="T26" s="83"/>
      <c r="U26" s="83"/>
      <c r="BA26" s="42" t="n">
        <v>14</v>
      </c>
    </row>
    <row r="27" customFormat="false" ht="27" hidden="false" customHeight="true" outlineLevel="0" collapsed="false">
      <c r="Q27" s="570"/>
      <c r="R27" s="470"/>
      <c r="S27" s="215"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5"/>
      <c r="U27" s="215"/>
      <c r="V27" s="215"/>
      <c r="W27" s="215"/>
      <c r="X27" s="215"/>
      <c r="Y27" s="215"/>
      <c r="Z27" s="215"/>
      <c r="AA27" s="215"/>
      <c r="AB27" s="215"/>
      <c r="AC27" s="215"/>
      <c r="AD27" s="215"/>
      <c r="AE27" s="215"/>
      <c r="AF27" s="215"/>
      <c r="AG27" s="215"/>
      <c r="AH27" s="215"/>
      <c r="AI27" s="215"/>
      <c r="AJ27" s="215"/>
      <c r="AK27" s="215"/>
      <c r="AL27" s="215"/>
      <c r="AM27" s="215"/>
      <c r="AN27" s="215"/>
      <c r="AO27" s="215"/>
      <c r="AP27" s="215"/>
      <c r="AQ27" s="215"/>
      <c r="AR27" s="215"/>
      <c r="AS27" s="217"/>
      <c r="BA27" s="42" t="n">
        <v>26</v>
      </c>
    </row>
    <row r="28" customFormat="false" ht="14.25" hidden="false" customHeight="true" outlineLevel="0" collapsed="false">
      <c r="Q28" s="570"/>
      <c r="R28" s="470"/>
      <c r="S28" s="259" t="str">
        <f aca="false">IF(org=0,"Не определено",org)</f>
        <v>Филиал ПАО "ОГК-2" - Серовская ГРЭС, г. Серов</v>
      </c>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17"/>
      <c r="BA28" s="42" t="n">
        <v>14</v>
      </c>
    </row>
    <row r="29" customFormat="false" ht="14.25" hidden="true" customHeight="true" outlineLevel="0" collapsed="false">
      <c r="Q29" s="570"/>
      <c r="R29" s="470"/>
      <c r="S29" s="471"/>
      <c r="T29" s="83"/>
      <c r="U29" s="83"/>
      <c r="V29" s="472"/>
      <c r="W29" s="472"/>
      <c r="X29" s="472"/>
      <c r="Y29" s="472"/>
      <c r="Z29" s="472"/>
      <c r="AA29" s="472"/>
      <c r="AB29" s="472"/>
      <c r="AC29" s="472"/>
      <c r="AD29" s="472"/>
      <c r="AE29" s="472"/>
      <c r="AF29" s="472"/>
      <c r="AG29" s="472"/>
      <c r="AH29" s="472"/>
      <c r="AI29" s="472"/>
      <c r="AJ29" s="472"/>
      <c r="AK29" s="472"/>
      <c r="AL29" s="472"/>
      <c r="AM29" s="472"/>
      <c r="AN29" s="472"/>
      <c r="AO29" s="472"/>
      <c r="AP29" s="472"/>
      <c r="AQ29" s="472"/>
      <c r="AR29" s="472"/>
      <c r="AS29" s="472"/>
      <c r="BA29" s="42" t="n">
        <v>0</v>
      </c>
    </row>
    <row r="30" s="177" customFormat="true" ht="25.5" hidden="true" customHeight="true" outlineLevel="0" collapsed="false">
      <c r="A30" s="144"/>
      <c r="B30" s="144"/>
      <c r="C30" s="144"/>
      <c r="D30" s="144"/>
      <c r="E30" s="144"/>
      <c r="F30" s="144"/>
      <c r="G30" s="144"/>
      <c r="H30" s="144"/>
      <c r="I30" s="144"/>
      <c r="J30" s="144"/>
      <c r="K30" s="144"/>
      <c r="L30" s="419"/>
      <c r="M30" s="144"/>
      <c r="N30" s="144"/>
      <c r="O30" s="144"/>
      <c r="P30" s="144"/>
      <c r="Q30" s="144"/>
      <c r="S30" s="473" t="s">
        <v>41</v>
      </c>
      <c r="T30" s="473"/>
      <c r="U30" s="474"/>
      <c r="V30" s="475" t="str">
        <f aca="false">IF(TITLE_NAME_OR_PR_CHANGE="",IF(TITLE_NAME_OR_PR="","",TITLE_NAME_OR_PR),TITLE_NAME_OR_PR_CHANGE)</f>
        <v/>
      </c>
      <c r="W30" s="475"/>
      <c r="X30" s="475"/>
      <c r="Y30" s="475"/>
      <c r="Z30" s="475"/>
      <c r="AA30" s="42"/>
      <c r="AB30" s="475" t="str">
        <f aca="false">IF(TITLE_NAME_OR_PR_CHANGE="",IF(TITLE_NAME_OR_PR="","",TITLE_NAME_OR_PR),TITLE_NAME_OR_PR_CHANGE)</f>
        <v/>
      </c>
      <c r="AC30" s="475"/>
      <c r="AD30" s="475"/>
      <c r="AE30" s="475"/>
      <c r="AF30" s="475"/>
      <c r="AG30" s="475"/>
      <c r="AH30" s="475"/>
      <c r="AI30" s="475"/>
      <c r="AJ30" s="475"/>
      <c r="AK30" s="475"/>
      <c r="AL30" s="475"/>
      <c r="AM30" s="475"/>
      <c r="AN30" s="475"/>
      <c r="AO30" s="475"/>
      <c r="AP30" s="475"/>
      <c r="AQ30" s="475"/>
      <c r="AR30" s="475"/>
      <c r="AS30" s="42"/>
      <c r="AT30" s="42"/>
      <c r="AU30" s="476"/>
      <c r="AV30" s="122"/>
      <c r="AW30" s="122"/>
      <c r="AX30" s="122"/>
      <c r="AY30" s="122"/>
      <c r="AZ30" s="122"/>
      <c r="BA30" s="177" t="n">
        <v>0</v>
      </c>
    </row>
    <row r="31" s="177" customFormat="true" ht="18.75" hidden="true" customHeight="true" outlineLevel="0" collapsed="false">
      <c r="A31" s="144"/>
      <c r="B31" s="144"/>
      <c r="C31" s="144"/>
      <c r="D31" s="144"/>
      <c r="E31" s="144"/>
      <c r="F31" s="144"/>
      <c r="G31" s="144"/>
      <c r="H31" s="144"/>
      <c r="I31" s="144"/>
      <c r="J31" s="144"/>
      <c r="K31" s="144"/>
      <c r="L31" s="419"/>
      <c r="M31" s="144"/>
      <c r="N31" s="144"/>
      <c r="O31" s="144"/>
      <c r="P31" s="144"/>
      <c r="Q31" s="144"/>
      <c r="S31" s="473" t="s">
        <v>420</v>
      </c>
      <c r="T31" s="473"/>
      <c r="U31" s="474"/>
      <c r="V31" s="477" t="str">
        <f aca="false">IF(TITLE_DATE_PR_CHANGE="",IF(TITLE_DATE_PR="","",TITLE_DATE_PR),TITLE_DATE_PR_CHANGE)</f>
        <v/>
      </c>
      <c r="W31" s="477"/>
      <c r="X31" s="477"/>
      <c r="Y31" s="477"/>
      <c r="Z31" s="477"/>
      <c r="AA31" s="42"/>
      <c r="AB31" s="477" t="str">
        <f aca="false">IF(TITLE_DATE_PR_CHANGE="",IF(TITLE_DATE_PR="","",TITLE_DATE_PR),TITLE_DATE_PR_CHANGE)</f>
        <v/>
      </c>
      <c r="AC31" s="477"/>
      <c r="AD31" s="477"/>
      <c r="AE31" s="477"/>
      <c r="AF31" s="477"/>
      <c r="AG31" s="477"/>
      <c r="AH31" s="477"/>
      <c r="AI31" s="477"/>
      <c r="AJ31" s="477"/>
      <c r="AK31" s="477"/>
      <c r="AL31" s="477"/>
      <c r="AM31" s="477"/>
      <c r="AN31" s="477"/>
      <c r="AO31" s="477"/>
      <c r="AP31" s="477"/>
      <c r="AQ31" s="477"/>
      <c r="AR31" s="477"/>
      <c r="AS31" s="42"/>
      <c r="AT31" s="42"/>
      <c r="AU31" s="476"/>
      <c r="AV31" s="122"/>
      <c r="AW31" s="122"/>
      <c r="AX31" s="122"/>
      <c r="AY31" s="122"/>
      <c r="AZ31" s="122"/>
      <c r="BA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P32" s="144"/>
      <c r="Q32" s="144"/>
      <c r="S32" s="473" t="s">
        <v>421</v>
      </c>
      <c r="T32" s="473"/>
      <c r="U32" s="474"/>
      <c r="V32" s="475" t="str">
        <f aca="false">IF(TITLE_NUMBER_PR_CHANGE="",IF(TITLE_NUMBER_PR="","",TITLE_NUMBER_PR),TITLE_NUMBER_PR_CHANGE)</f>
        <v/>
      </c>
      <c r="W32" s="475"/>
      <c r="X32" s="475"/>
      <c r="Y32" s="475"/>
      <c r="Z32" s="475"/>
      <c r="AA32" s="42"/>
      <c r="AB32" s="475" t="str">
        <f aca="false">IF(TITLE_NUMBER_PR_CHANGE="",IF(TITLE_NUMBER_PR="","",TITLE_NUMBER_PR),TITLE_NUMBER_PR_CHANGE)</f>
        <v/>
      </c>
      <c r="AC32" s="475"/>
      <c r="AD32" s="475"/>
      <c r="AE32" s="475"/>
      <c r="AF32" s="475"/>
      <c r="AG32" s="475"/>
      <c r="AH32" s="475"/>
      <c r="AI32" s="475"/>
      <c r="AJ32" s="475"/>
      <c r="AK32" s="475"/>
      <c r="AL32" s="475"/>
      <c r="AM32" s="475"/>
      <c r="AN32" s="475"/>
      <c r="AO32" s="475"/>
      <c r="AP32" s="475"/>
      <c r="AQ32" s="475"/>
      <c r="AR32" s="475"/>
      <c r="AS32" s="42"/>
      <c r="AT32" s="42"/>
      <c r="AU32" s="476"/>
      <c r="AV32" s="122"/>
      <c r="AW32" s="122"/>
      <c r="AX32" s="122"/>
      <c r="AY32" s="122"/>
      <c r="AZ32" s="122"/>
      <c r="BA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P33" s="144"/>
      <c r="Q33" s="144"/>
      <c r="S33" s="473" t="s">
        <v>42</v>
      </c>
      <c r="T33" s="473"/>
      <c r="U33" s="474"/>
      <c r="V33" s="475" t="str">
        <f aca="false">IF(TITLE_IST_PUB_CHANGE="",IF(TITLE_IST_PUB="","",TITLE_IST_PUB),TITLE_IST_PUB_CHANGE)</f>
        <v/>
      </c>
      <c r="W33" s="475"/>
      <c r="X33" s="475"/>
      <c r="Y33" s="475"/>
      <c r="Z33" s="475"/>
      <c r="AA33" s="42"/>
      <c r="AB33" s="475" t="str">
        <f aca="false">IF(TITLE_IST_PUB_CHANGE="",IF(TITLE_IST_PUB="","",TITLE_IST_PUB),TITLE_IST_PUB_CHANGE)</f>
        <v/>
      </c>
      <c r="AC33" s="475"/>
      <c r="AD33" s="475"/>
      <c r="AE33" s="475"/>
      <c r="AF33" s="475"/>
      <c r="AG33" s="475"/>
      <c r="AH33" s="475"/>
      <c r="AI33" s="475"/>
      <c r="AJ33" s="475"/>
      <c r="AK33" s="475"/>
      <c r="AL33" s="475"/>
      <c r="AM33" s="475"/>
      <c r="AN33" s="475"/>
      <c r="AO33" s="475"/>
      <c r="AP33" s="475"/>
      <c r="AQ33" s="475"/>
      <c r="AR33" s="475"/>
      <c r="AS33" s="42"/>
      <c r="AT33" s="42"/>
      <c r="AU33" s="476"/>
      <c r="AV33" s="122"/>
      <c r="AW33" s="122"/>
      <c r="AX33" s="122"/>
      <c r="AY33" s="122"/>
      <c r="AZ33" s="122"/>
      <c r="BA33" s="177" t="n">
        <v>0</v>
      </c>
    </row>
    <row r="34" customFormat="false" ht="14.25" hidden="true" customHeight="true" outlineLevel="0" collapsed="false">
      <c r="Q34" s="570"/>
      <c r="R34" s="470"/>
      <c r="S34" s="471"/>
      <c r="T34" s="83"/>
      <c r="U34" s="83"/>
      <c r="V34" s="472"/>
      <c r="W34" s="472"/>
      <c r="X34" s="472"/>
      <c r="Y34" s="472"/>
      <c r="Z34" s="472"/>
      <c r="AA34" s="472"/>
      <c r="AB34" s="472"/>
      <c r="AC34" s="472"/>
      <c r="AD34" s="472"/>
      <c r="AE34" s="472"/>
      <c r="AF34" s="472"/>
      <c r="AG34" s="472"/>
      <c r="AH34" s="472"/>
      <c r="AI34" s="472"/>
      <c r="AJ34" s="472"/>
      <c r="AK34" s="472"/>
      <c r="AL34" s="472"/>
      <c r="AM34" s="472"/>
      <c r="AN34" s="472"/>
      <c r="AO34" s="472"/>
      <c r="AP34" s="472"/>
      <c r="AQ34" s="472"/>
      <c r="AR34" s="472"/>
      <c r="AS34" s="472"/>
      <c r="BA34" s="42" t="n">
        <v>0</v>
      </c>
    </row>
    <row r="35" s="177" customFormat="true" ht="18.75" hidden="true" customHeight="true" outlineLevel="0" collapsed="false">
      <c r="A35" s="144"/>
      <c r="B35" s="144"/>
      <c r="C35" s="144"/>
      <c r="D35" s="144"/>
      <c r="E35" s="144"/>
      <c r="F35" s="144"/>
      <c r="G35" s="144"/>
      <c r="H35" s="144"/>
      <c r="I35" s="144"/>
      <c r="J35" s="144"/>
      <c r="K35" s="144"/>
      <c r="L35" s="419"/>
      <c r="M35" s="144"/>
      <c r="N35" s="144"/>
      <c r="O35" s="144"/>
      <c r="P35" s="144"/>
      <c r="Q35" s="144"/>
      <c r="S35" s="473" t="s">
        <v>420</v>
      </c>
      <c r="T35" s="473"/>
      <c r="U35" s="474"/>
      <c r="V35" s="477" t="str">
        <f aca="false">IF(TITLE_DATE_PR_CHANGE="",IF(TITLE_DATE_PR="","",TITLE_DATE_PR),TITLE_DATE_PR_CHANGE)</f>
        <v/>
      </c>
      <c r="W35" s="477"/>
      <c r="X35" s="477"/>
      <c r="Y35" s="477"/>
      <c r="Z35" s="477"/>
      <c r="AA35" s="42"/>
      <c r="AB35" s="477" t="str">
        <f aca="false">IF(TITLE_DATE_PR_CHANGE="",IF(TITLE_DATE_PR="","",TITLE_DATE_PR),TITLE_DATE_PR_CHANGE)</f>
        <v/>
      </c>
      <c r="AC35" s="477"/>
      <c r="AD35" s="477"/>
      <c r="AE35" s="477"/>
      <c r="AF35" s="477"/>
      <c r="AG35" s="477"/>
      <c r="AH35" s="477"/>
      <c r="AI35" s="477"/>
      <c r="AJ35" s="477"/>
      <c r="AK35" s="477"/>
      <c r="AL35" s="477"/>
      <c r="AM35" s="477"/>
      <c r="AN35" s="477"/>
      <c r="AO35" s="477"/>
      <c r="AP35" s="477"/>
      <c r="AQ35" s="477"/>
      <c r="AR35" s="477"/>
      <c r="AS35" s="42"/>
      <c r="AT35" s="42"/>
      <c r="AU35" s="476"/>
      <c r="AV35" s="122"/>
      <c r="AW35" s="122"/>
      <c r="AX35" s="122"/>
      <c r="AY35" s="122"/>
      <c r="AZ35" s="122"/>
      <c r="BA35" s="177" t="n">
        <v>0</v>
      </c>
    </row>
    <row r="36" s="177" customFormat="true" ht="18" hidden="true" customHeight="true" outlineLevel="0" collapsed="false">
      <c r="A36" s="144"/>
      <c r="B36" s="144"/>
      <c r="C36" s="144"/>
      <c r="D36" s="144"/>
      <c r="E36" s="144"/>
      <c r="F36" s="144"/>
      <c r="G36" s="144"/>
      <c r="H36" s="144"/>
      <c r="I36" s="144"/>
      <c r="J36" s="144"/>
      <c r="K36" s="144"/>
      <c r="L36" s="419"/>
      <c r="M36" s="144"/>
      <c r="N36" s="144"/>
      <c r="O36" s="144"/>
      <c r="P36" s="144"/>
      <c r="Q36" s="144"/>
      <c r="S36" s="473" t="s">
        <v>421</v>
      </c>
      <c r="T36" s="473"/>
      <c r="U36" s="474"/>
      <c r="V36" s="475" t="str">
        <f aca="false">IF(TITLE_NUMBER_PR_CHANGE="",IF(TITLE_NUMBER_PR="","",TITLE_NUMBER_PR),TITLE_NUMBER_PR_CHANGE)</f>
        <v/>
      </c>
      <c r="W36" s="475"/>
      <c r="X36" s="475"/>
      <c r="Y36" s="475"/>
      <c r="Z36" s="475"/>
      <c r="AA36" s="42"/>
      <c r="AB36" s="475" t="str">
        <f aca="false">IF(TITLE_NUMBER_PR_CHANGE="",IF(TITLE_NUMBER_PR="","",TITLE_NUMBER_PR),TITLE_NUMBER_PR_CHANGE)</f>
        <v/>
      </c>
      <c r="AC36" s="475"/>
      <c r="AD36" s="475"/>
      <c r="AE36" s="475"/>
      <c r="AF36" s="475"/>
      <c r="AG36" s="475"/>
      <c r="AH36" s="475"/>
      <c r="AI36" s="475"/>
      <c r="AJ36" s="475"/>
      <c r="AK36" s="475"/>
      <c r="AL36" s="475"/>
      <c r="AM36" s="475"/>
      <c r="AN36" s="475"/>
      <c r="AO36" s="475"/>
      <c r="AP36" s="475"/>
      <c r="AQ36" s="475"/>
      <c r="AR36" s="475"/>
      <c r="AS36" s="42"/>
      <c r="AT36" s="42"/>
      <c r="AU36" s="476"/>
      <c r="AV36" s="122"/>
      <c r="AW36" s="122"/>
      <c r="AX36" s="122"/>
      <c r="AY36" s="122"/>
      <c r="AZ36" s="122"/>
      <c r="BA36" s="177" t="n">
        <v>0</v>
      </c>
    </row>
    <row r="37" s="177" customFormat="true" ht="0.75" hidden="false" customHeight="true" outlineLevel="0" collapsed="false">
      <c r="A37" s="144"/>
      <c r="B37" s="144"/>
      <c r="C37" s="144"/>
      <c r="D37" s="144"/>
      <c r="E37" s="144"/>
      <c r="F37" s="144"/>
      <c r="G37" s="144"/>
      <c r="H37" s="144"/>
      <c r="I37" s="144"/>
      <c r="J37" s="144"/>
      <c r="K37" s="144"/>
      <c r="L37" s="419"/>
      <c r="M37" s="144"/>
      <c r="N37" s="144"/>
      <c r="O37" s="144"/>
      <c r="P37" s="144"/>
      <c r="Q37" s="144"/>
      <c r="S37" s="42"/>
      <c r="T37" s="42"/>
      <c r="U37" s="132"/>
      <c r="V37" s="42"/>
      <c r="W37" s="42"/>
      <c r="X37" s="42"/>
      <c r="Y37" s="42"/>
      <c r="Z37" s="42"/>
      <c r="AA37" s="49" t="s">
        <v>424</v>
      </c>
      <c r="AB37" s="42"/>
      <c r="AC37" s="42"/>
      <c r="AD37" s="42"/>
      <c r="AE37" s="42"/>
      <c r="AF37" s="42"/>
      <c r="AG37" s="42"/>
      <c r="AH37" s="42"/>
      <c r="AI37" s="42"/>
      <c r="AJ37" s="42"/>
      <c r="AK37" s="42"/>
      <c r="AL37" s="42"/>
      <c r="AM37" s="42"/>
      <c r="AN37" s="42"/>
      <c r="AO37" s="42"/>
      <c r="AP37" s="42"/>
      <c r="AQ37" s="42"/>
      <c r="AR37" s="42"/>
      <c r="AS37" s="49" t="s">
        <v>424</v>
      </c>
      <c r="AV37" s="122"/>
      <c r="AW37" s="122"/>
      <c r="AX37" s="122"/>
      <c r="AY37" s="122"/>
      <c r="AZ37" s="122"/>
      <c r="BA37" s="177" t="n">
        <v>1</v>
      </c>
    </row>
    <row r="38" customFormat="false" ht="14.25" hidden="false" customHeight="true" outlineLevel="0" collapsed="false">
      <c r="Q38" s="570"/>
      <c r="R38" s="470"/>
      <c r="S38" s="471"/>
      <c r="T38" s="83"/>
      <c r="U38" s="478"/>
      <c r="V38" s="479"/>
      <c r="W38" s="479"/>
      <c r="X38" s="479"/>
      <c r="Y38" s="479"/>
      <c r="Z38" s="479"/>
      <c r="AA38" s="479"/>
      <c r="AB38" s="479"/>
      <c r="AC38" s="479"/>
      <c r="AD38" s="479"/>
      <c r="AE38" s="479"/>
      <c r="AF38" s="479"/>
      <c r="AG38" s="479"/>
      <c r="AH38" s="479"/>
      <c r="AI38" s="479"/>
      <c r="AJ38" s="479"/>
      <c r="AK38" s="479"/>
      <c r="AL38" s="479"/>
      <c r="AM38" s="479"/>
      <c r="AN38" s="479"/>
      <c r="AO38" s="479"/>
      <c r="AP38" s="479"/>
      <c r="AQ38" s="479"/>
      <c r="AR38" s="479"/>
      <c r="AS38" s="479"/>
      <c r="BA38" s="42" t="n">
        <v>14</v>
      </c>
    </row>
    <row r="39" customFormat="false" ht="14.25" hidden="false" customHeight="true" outlineLevel="0" collapsed="false">
      <c r="Q39" s="570"/>
      <c r="R39" s="470"/>
      <c r="S39" s="138" t="s">
        <v>297</v>
      </c>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t="s">
        <v>298</v>
      </c>
      <c r="BA39" s="42" t="n">
        <v>14</v>
      </c>
    </row>
    <row r="40" customFormat="false" ht="14.25" hidden="false" customHeight="true" outlineLevel="0" collapsed="false">
      <c r="Q40" s="570"/>
      <c r="R40" s="470"/>
      <c r="S40" s="422" t="s">
        <v>86</v>
      </c>
      <c r="T40" s="395" t="s">
        <v>470</v>
      </c>
      <c r="U40" s="481"/>
      <c r="V40" s="571"/>
      <c r="W40" s="571"/>
      <c r="X40" s="571"/>
      <c r="Y40" s="571"/>
      <c r="Z40" s="571"/>
      <c r="AA40" s="572" t="s">
        <v>427</v>
      </c>
      <c r="AB40" s="294" t="s">
        <v>471</v>
      </c>
      <c r="AC40" s="294"/>
      <c r="AD40" s="294"/>
      <c r="AE40" s="294"/>
      <c r="AF40" s="571" t="s">
        <v>472</v>
      </c>
      <c r="AG40" s="571"/>
      <c r="AH40" s="571"/>
      <c r="AI40" s="571"/>
      <c r="AJ40" s="294" t="s">
        <v>473</v>
      </c>
      <c r="AK40" s="294"/>
      <c r="AL40" s="294"/>
      <c r="AM40" s="294"/>
      <c r="AN40" s="573" t="s">
        <v>426</v>
      </c>
      <c r="AO40" s="573"/>
      <c r="AP40" s="573"/>
      <c r="AQ40" s="573"/>
      <c r="AR40" s="573"/>
      <c r="AS40" s="395" t="s">
        <v>427</v>
      </c>
      <c r="AT40" s="482" t="s">
        <v>429</v>
      </c>
      <c r="AU40" s="138"/>
      <c r="BA40" s="42" t="n">
        <v>14</v>
      </c>
    </row>
    <row r="41" customFormat="false" ht="35.25" hidden="false" customHeight="true" outlineLevel="0" collapsed="false">
      <c r="Q41" s="570"/>
      <c r="R41" s="470"/>
      <c r="S41" s="422"/>
      <c r="T41" s="395"/>
      <c r="U41" s="483"/>
      <c r="V41" s="138" t="s">
        <v>474</v>
      </c>
      <c r="W41" s="138"/>
      <c r="X41" s="138" t="s">
        <v>433</v>
      </c>
      <c r="Y41" s="138"/>
      <c r="Z41" s="138"/>
      <c r="AA41" s="572"/>
      <c r="AB41" s="294"/>
      <c r="AC41" s="294"/>
      <c r="AD41" s="294"/>
      <c r="AE41" s="294"/>
      <c r="AF41" s="571"/>
      <c r="AG41" s="571"/>
      <c r="AH41" s="571"/>
      <c r="AI41" s="571"/>
      <c r="AJ41" s="294"/>
      <c r="AK41" s="294"/>
      <c r="AL41" s="294"/>
      <c r="AM41" s="294"/>
      <c r="AN41" s="138" t="s">
        <v>474</v>
      </c>
      <c r="AO41" s="138"/>
      <c r="AP41" s="506" t="s">
        <v>433</v>
      </c>
      <c r="AQ41" s="506"/>
      <c r="AR41" s="506"/>
      <c r="AS41" s="395"/>
      <c r="AT41" s="482"/>
      <c r="AU41" s="138"/>
      <c r="BA41" s="42" t="n">
        <v>34</v>
      </c>
    </row>
    <row r="42" customFormat="false" ht="14.25" hidden="false" customHeight="true" outlineLevel="0" collapsed="false">
      <c r="Q42" s="570"/>
      <c r="R42" s="470"/>
      <c r="S42" s="422"/>
      <c r="T42" s="395"/>
      <c r="U42" s="483"/>
      <c r="V42" s="574" t="str">
        <f aca="false">IF($AN$42&lt;&gt;"",$AN$42,"")</f>
        <v/>
      </c>
      <c r="W42" s="574"/>
      <c r="X42" s="138"/>
      <c r="Y42" s="138"/>
      <c r="Z42" s="138"/>
      <c r="AA42" s="572"/>
      <c r="AB42" s="294"/>
      <c r="AC42" s="294"/>
      <c r="AD42" s="294"/>
      <c r="AE42" s="294"/>
      <c r="AF42" s="571"/>
      <c r="AG42" s="571"/>
      <c r="AH42" s="571"/>
      <c r="AI42" s="571"/>
      <c r="AJ42" s="294"/>
      <c r="AK42" s="294"/>
      <c r="AL42" s="294"/>
      <c r="AM42" s="294"/>
      <c r="AN42" s="575"/>
      <c r="AO42" s="575"/>
      <c r="AP42" s="506"/>
      <c r="AQ42" s="506"/>
      <c r="AR42" s="506"/>
      <c r="AS42" s="395"/>
      <c r="AT42" s="482"/>
      <c r="AU42" s="138"/>
      <c r="BA42" s="42" t="n">
        <v>14</v>
      </c>
    </row>
    <row r="43" customFormat="false" ht="14.25" hidden="false" customHeight="true" outlineLevel="0" collapsed="false">
      <c r="A43" s="144"/>
      <c r="B43" s="144" t="s">
        <v>134</v>
      </c>
      <c r="C43" s="144" t="s">
        <v>135</v>
      </c>
      <c r="D43" s="144" t="s">
        <v>136</v>
      </c>
      <c r="E43" s="419" t="s">
        <v>434</v>
      </c>
      <c r="F43" s="419" t="s">
        <v>435</v>
      </c>
      <c r="G43" s="419" t="s">
        <v>436</v>
      </c>
      <c r="H43" s="419" t="s">
        <v>437</v>
      </c>
      <c r="I43" s="419" t="s">
        <v>438</v>
      </c>
      <c r="J43" s="419" t="s">
        <v>439</v>
      </c>
      <c r="K43" s="419" t="s">
        <v>440</v>
      </c>
      <c r="L43" s="419" t="s">
        <v>415</v>
      </c>
      <c r="Q43" s="570"/>
      <c r="R43" s="470"/>
      <c r="S43" s="422"/>
      <c r="T43" s="395"/>
      <c r="U43" s="485"/>
      <c r="V43" s="395" t="s">
        <v>475</v>
      </c>
      <c r="W43" s="395" t="s">
        <v>476</v>
      </c>
      <c r="X43" s="220" t="s">
        <v>443</v>
      </c>
      <c r="Y43" s="220" t="s">
        <v>444</v>
      </c>
      <c r="Z43" s="220"/>
      <c r="AA43" s="572"/>
      <c r="AB43" s="294"/>
      <c r="AC43" s="294"/>
      <c r="AD43" s="294"/>
      <c r="AE43" s="294"/>
      <c r="AF43" s="571"/>
      <c r="AG43" s="571"/>
      <c r="AH43" s="571"/>
      <c r="AI43" s="571"/>
      <c r="AJ43" s="294"/>
      <c r="AK43" s="294"/>
      <c r="AL43" s="294"/>
      <c r="AM43" s="294"/>
      <c r="AN43" s="576" t="s">
        <v>475</v>
      </c>
      <c r="AO43" s="576" t="s">
        <v>476</v>
      </c>
      <c r="AP43" s="220" t="s">
        <v>443</v>
      </c>
      <c r="AQ43" s="220" t="s">
        <v>444</v>
      </c>
      <c r="AR43" s="220"/>
      <c r="AS43" s="395"/>
      <c r="AT43" s="482"/>
      <c r="AU43" s="138"/>
      <c r="BA43" s="42" t="n">
        <v>14</v>
      </c>
    </row>
    <row r="44" s="124" customFormat="true" ht="11.25" hidden="true" customHeight="true" outlineLevel="0" collapsed="false">
      <c r="A44" s="144"/>
      <c r="B44" s="144"/>
      <c r="C44" s="144"/>
      <c r="D44" s="144"/>
      <c r="E44" s="144"/>
      <c r="F44" s="144"/>
      <c r="G44" s="144"/>
      <c r="H44" s="144"/>
      <c r="I44" s="144"/>
      <c r="J44" s="144"/>
      <c r="K44" s="144"/>
      <c r="L44" s="419"/>
      <c r="M44" s="53"/>
      <c r="N44" s="53"/>
      <c r="O44" s="53"/>
      <c r="P44" s="515"/>
      <c r="Q44" s="488"/>
      <c r="R44" s="488" t="n">
        <v>1</v>
      </c>
      <c r="S44" s="489" t="s">
        <v>107</v>
      </c>
      <c r="T44" s="490" t="s">
        <v>108</v>
      </c>
      <c r="U44" s="491" t="str">
        <f aca="true">OFFSET(U44,0,-1)</f>
        <v>2</v>
      </c>
      <c r="V44" s="492" t="n">
        <f aca="true">OFFSET(V44,0,-1)+1</f>
        <v>3</v>
      </c>
      <c r="W44" s="492" t="n">
        <f aca="true">OFFSET(W44,0,-1)+1</f>
        <v>4</v>
      </c>
      <c r="X44" s="492" t="n">
        <f aca="true">OFFSET(X44,0,-1)+1</f>
        <v>5</v>
      </c>
      <c r="Y44" s="492" t="n">
        <f aca="true">OFFSET(Y44,0,-1)+1</f>
        <v>6</v>
      </c>
      <c r="Z44" s="492"/>
      <c r="AA44" s="492" t="n">
        <f aca="true">OFFSET(AA44,0,-2)+1</f>
        <v>7</v>
      </c>
      <c r="AB44" s="367" t="n">
        <f aca="true">OFFSET(AB44,0,-1)+1</f>
        <v>8</v>
      </c>
      <c r="AC44" s="367"/>
      <c r="AD44" s="367"/>
      <c r="AE44" s="367"/>
      <c r="AF44" s="492"/>
      <c r="AG44" s="492"/>
      <c r="AH44" s="492"/>
      <c r="AI44" s="492"/>
      <c r="AJ44" s="492"/>
      <c r="AK44" s="492"/>
      <c r="AL44" s="492"/>
      <c r="AM44" s="492"/>
      <c r="AN44" s="492" t="n">
        <f aca="true">OFFSET(AN44,0,-1)+1</f>
        <v>1</v>
      </c>
      <c r="AO44" s="492" t="n">
        <f aca="true">OFFSET(AO44,0,-1)+1</f>
        <v>2</v>
      </c>
      <c r="AP44" s="492" t="n">
        <f aca="true">OFFSET(AP44,0,-1)+1</f>
        <v>3</v>
      </c>
      <c r="AQ44" s="492" t="n">
        <f aca="true">OFFSET(AQ44,0,-1)+1</f>
        <v>4</v>
      </c>
      <c r="AR44" s="492"/>
      <c r="AS44" s="492" t="n">
        <f aca="true">OFFSET(AS44,0,-2)+1</f>
        <v>5</v>
      </c>
      <c r="AT44" s="491" t="n">
        <f aca="true">OFFSET(AT44,0,-1)</f>
        <v>5</v>
      </c>
      <c r="AU44" s="492" t="n">
        <f aca="true">OFFSET(AU44,0,-1)+1</f>
        <v>6</v>
      </c>
      <c r="AV44" s="49"/>
      <c r="AW44" s="49"/>
      <c r="AX44" s="49"/>
      <c r="AY44" s="49"/>
      <c r="AZ44" s="49"/>
      <c r="BA44" s="124" t="n">
        <v>0</v>
      </c>
    </row>
    <row r="45" customFormat="false" ht="107.25" hidden="false" customHeight="true" outlineLevel="0" collapsed="false">
      <c r="A45" s="417" t="s">
        <v>197</v>
      </c>
      <c r="B45" s="417"/>
      <c r="C45" s="417"/>
      <c r="D45" s="417"/>
      <c r="E45" s="418" t="n">
        <v>1</v>
      </c>
      <c r="F45" s="417"/>
      <c r="G45" s="417"/>
      <c r="H45" s="417"/>
      <c r="I45" s="417"/>
      <c r="J45" s="417"/>
      <c r="K45" s="417"/>
      <c r="L45" s="419"/>
      <c r="M45" s="420"/>
      <c r="N45" s="420"/>
      <c r="O45" s="420"/>
      <c r="Q45" s="56"/>
      <c r="R45" s="421"/>
      <c r="S45" s="422" t="n">
        <f aca="false">INDEX(PT_DIFFERENTIATION_NUM_NTAR,MATCH(A45,PT_DIFFERENTIATION_NTAR_ID,0))</f>
        <v>0</v>
      </c>
      <c r="T45" s="423" t="s">
        <v>122</v>
      </c>
      <c r="U45" s="424"/>
      <c r="V45" s="541"/>
      <c r="W45" s="541"/>
      <c r="X45" s="541"/>
      <c r="Y45" s="541"/>
      <c r="Z45" s="541"/>
      <c r="AA45" s="541"/>
      <c r="AB45" s="426" t="str">
        <f aca="false">INDEX(PT_DIFFERENTIATION_NTAR,MATCH(A45,PT_DIFFERENTIATION_NTAR_ID,0))</f>
        <v/>
      </c>
      <c r="AC45" s="426"/>
      <c r="AD45" s="426"/>
      <c r="AE45" s="426"/>
      <c r="AF45" s="426"/>
      <c r="AG45" s="426"/>
      <c r="AH45" s="426"/>
      <c r="AI45" s="426"/>
      <c r="AJ45" s="426"/>
      <c r="AK45" s="426"/>
      <c r="AL45" s="426"/>
      <c r="AM45" s="426"/>
      <c r="AN45" s="426"/>
      <c r="AO45" s="426"/>
      <c r="AP45" s="426"/>
      <c r="AQ45" s="426"/>
      <c r="AR45" s="426"/>
      <c r="AS45" s="426"/>
      <c r="AT45" s="426"/>
      <c r="AU45" s="427"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2"/>
      <c r="AX45" s="122" t="str">
        <f aca="false">IF(T45="","",T45)</f>
        <v>Наименование тарифа</v>
      </c>
      <c r="AY45" s="122"/>
      <c r="AZ45" s="122"/>
      <c r="BA45" s="42" t="n">
        <v>102</v>
      </c>
    </row>
    <row r="46" customFormat="false" ht="21.75" hidden="false" customHeight="true" outlineLevel="0" collapsed="false">
      <c r="A46" s="417" t="s">
        <v>197</v>
      </c>
      <c r="B46" s="417" t="s">
        <v>198</v>
      </c>
      <c r="C46" s="417"/>
      <c r="D46" s="417"/>
      <c r="E46" s="418"/>
      <c r="F46" s="418" t="n">
        <v>1</v>
      </c>
      <c r="G46" s="417"/>
      <c r="H46" s="417"/>
      <c r="I46" s="417"/>
      <c r="J46" s="417"/>
      <c r="K46" s="417"/>
      <c r="L46" s="419"/>
      <c r="M46" s="420"/>
      <c r="N46" s="420"/>
      <c r="O46" s="420"/>
      <c r="P46" s="107"/>
      <c r="Q46" s="542"/>
      <c r="R46" s="429"/>
      <c r="S46" s="422" t="str">
        <f aca="false">INDEX(PT_DIFFERENTIATION_NUM_TER,MATCH(B46,PT_DIFFERENTIATION_TER_ID,0))</f>
        <v>.</v>
      </c>
      <c r="T46" s="430" t="s">
        <v>394</v>
      </c>
      <c r="U46" s="424"/>
      <c r="V46" s="541"/>
      <c r="W46" s="541"/>
      <c r="X46" s="541"/>
      <c r="Y46" s="541"/>
      <c r="Z46" s="541"/>
      <c r="AA46" s="541"/>
      <c r="AB46" s="426" t="str">
        <f aca="false">INDEX(PT_DIFFERENTIATION_TER,MATCH(B46,PT_DIFFERENTIATION_TER_ID,0))</f>
        <v/>
      </c>
      <c r="AC46" s="426"/>
      <c r="AD46" s="426"/>
      <c r="AE46" s="426"/>
      <c r="AF46" s="426"/>
      <c r="AG46" s="426"/>
      <c r="AH46" s="426"/>
      <c r="AI46" s="426"/>
      <c r="AJ46" s="426"/>
      <c r="AK46" s="426"/>
      <c r="AL46" s="426"/>
      <c r="AM46" s="426"/>
      <c r="AN46" s="426"/>
      <c r="AO46" s="426"/>
      <c r="AP46" s="426"/>
      <c r="AQ46" s="426"/>
      <c r="AR46" s="426"/>
      <c r="AS46" s="426"/>
      <c r="AT46" s="426"/>
      <c r="AU46" s="427" t="s">
        <v>395</v>
      </c>
      <c r="AW46" s="122"/>
      <c r="AX46" s="122" t="str">
        <f aca="false">IF(T46="","",T46)</f>
        <v>Территория действия тарифа</v>
      </c>
      <c r="AY46" s="122"/>
      <c r="AZ46" s="122"/>
      <c r="BA46" s="42" t="n">
        <v>21</v>
      </c>
    </row>
    <row r="47" customFormat="false" ht="24" hidden="false" customHeight="true" outlineLevel="0" collapsed="false">
      <c r="A47" s="417" t="s">
        <v>197</v>
      </c>
      <c r="B47" s="417" t="s">
        <v>198</v>
      </c>
      <c r="C47" s="417" t="s">
        <v>199</v>
      </c>
      <c r="D47" s="417"/>
      <c r="E47" s="418"/>
      <c r="F47" s="418"/>
      <c r="G47" s="418" t="n">
        <v>1</v>
      </c>
      <c r="H47" s="417"/>
      <c r="I47" s="417"/>
      <c r="J47" s="417"/>
      <c r="K47" s="417"/>
      <c r="L47" s="419"/>
      <c r="M47" s="420"/>
      <c r="N47" s="420"/>
      <c r="O47" s="420"/>
      <c r="P47" s="131"/>
      <c r="Q47" s="542"/>
      <c r="R47" s="429"/>
      <c r="S47" s="422" t="str">
        <f aca="false">INDEX(PT_DIFFERENTIATION_NUM_CS,MATCH(C47,PT_DIFFERENTIATION_CS_ID,0))</f>
        <v>..</v>
      </c>
      <c r="T47" s="432" t="s">
        <v>396</v>
      </c>
      <c r="U47" s="424"/>
      <c r="V47" s="541"/>
      <c r="W47" s="541"/>
      <c r="X47" s="541"/>
      <c r="Y47" s="541"/>
      <c r="Z47" s="541"/>
      <c r="AA47" s="541"/>
      <c r="AB47" s="426" t="str">
        <f aca="false">INDEX(PT_DIFFERENTIATION_CS,MATCH(C47,PT_DIFFERENTIATION_CS_ID,0))</f>
        <v/>
      </c>
      <c r="AC47" s="426"/>
      <c r="AD47" s="426"/>
      <c r="AE47" s="426"/>
      <c r="AF47" s="426"/>
      <c r="AG47" s="426"/>
      <c r="AH47" s="426"/>
      <c r="AI47" s="426"/>
      <c r="AJ47" s="426"/>
      <c r="AK47" s="426"/>
      <c r="AL47" s="426"/>
      <c r="AM47" s="426"/>
      <c r="AN47" s="426"/>
      <c r="AO47" s="426"/>
      <c r="AP47" s="426"/>
      <c r="AQ47" s="426"/>
      <c r="AR47" s="426"/>
      <c r="AS47" s="426"/>
      <c r="AT47" s="426"/>
      <c r="AU47" s="427" t="s">
        <v>397</v>
      </c>
      <c r="AW47" s="122"/>
      <c r="AX47" s="122" t="str">
        <f aca="false">IF(T47="","",T47)</f>
        <v>Наименование системы теплоснабжения </v>
      </c>
      <c r="AY47" s="122"/>
      <c r="AZ47" s="122"/>
      <c r="BA47" s="42" t="n">
        <v>23</v>
      </c>
    </row>
    <row r="48" customFormat="false" ht="21" hidden="false" customHeight="true" outlineLevel="0" collapsed="false">
      <c r="A48" s="417" t="s">
        <v>197</v>
      </c>
      <c r="B48" s="417" t="s">
        <v>198</v>
      </c>
      <c r="C48" s="417" t="s">
        <v>199</v>
      </c>
      <c r="D48" s="417" t="s">
        <v>200</v>
      </c>
      <c r="E48" s="418"/>
      <c r="F48" s="418"/>
      <c r="G48" s="418"/>
      <c r="H48" s="418" t="n">
        <v>1</v>
      </c>
      <c r="I48" s="417"/>
      <c r="J48" s="417"/>
      <c r="K48" s="417"/>
      <c r="L48" s="419"/>
      <c r="M48" s="420"/>
      <c r="N48" s="420"/>
      <c r="O48" s="420"/>
      <c r="P48" s="131"/>
      <c r="Q48" s="542"/>
      <c r="R48" s="429"/>
      <c r="S48" s="422" t="str">
        <f aca="false">INDEX(PT_DIFFERENTIATION_NUM_IST_TE,MATCH(D48,PT_DIFFERENTIATION_IST_TE_ID,0))</f>
        <v>...</v>
      </c>
      <c r="T48" s="433" t="s">
        <v>398</v>
      </c>
      <c r="U48" s="424"/>
      <c r="V48" s="541"/>
      <c r="W48" s="541"/>
      <c r="X48" s="541"/>
      <c r="Y48" s="541"/>
      <c r="Z48" s="541"/>
      <c r="AA48" s="541"/>
      <c r="AB48" s="426" t="str">
        <f aca="false">INDEX(PT_DIFFERENTIATION_IST_TE,MATCH(D48,PT_DIFFERENTIATION_IST_TE_ID,0))</f>
        <v/>
      </c>
      <c r="AC48" s="426"/>
      <c r="AD48" s="426"/>
      <c r="AE48" s="426"/>
      <c r="AF48" s="426"/>
      <c r="AG48" s="426"/>
      <c r="AH48" s="426"/>
      <c r="AI48" s="426"/>
      <c r="AJ48" s="426"/>
      <c r="AK48" s="426"/>
      <c r="AL48" s="426"/>
      <c r="AM48" s="426"/>
      <c r="AN48" s="426"/>
      <c r="AO48" s="426"/>
      <c r="AP48" s="426"/>
      <c r="AQ48" s="426"/>
      <c r="AR48" s="426"/>
      <c r="AS48" s="426"/>
      <c r="AT48" s="426"/>
      <c r="AU48" s="427" t="s">
        <v>399</v>
      </c>
      <c r="AW48" s="122"/>
      <c r="AX48" s="122" t="str">
        <f aca="false">IF(T48="","",T48)</f>
        <v>Источник тепловой энергии  </v>
      </c>
      <c r="AY48" s="122"/>
      <c r="AZ48" s="122"/>
      <c r="BA48" s="42" t="n">
        <v>20</v>
      </c>
    </row>
    <row r="49" s="49" customFormat="true" ht="0.75" hidden="false" customHeight="true" outlineLevel="0" collapsed="false">
      <c r="A49" s="126" t="s">
        <v>197</v>
      </c>
      <c r="B49" s="126" t="s">
        <v>198</v>
      </c>
      <c r="C49" s="126" t="s">
        <v>199</v>
      </c>
      <c r="D49" s="126" t="s">
        <v>200</v>
      </c>
      <c r="E49" s="418"/>
      <c r="F49" s="418"/>
      <c r="G49" s="418"/>
      <c r="H49" s="418"/>
      <c r="I49" s="434" t="str">
        <f aca="false">S48&amp;".1"</f>
        <v>....1</v>
      </c>
      <c r="J49" s="126"/>
      <c r="K49" s="126"/>
      <c r="L49" s="194" t="s">
        <v>400</v>
      </c>
      <c r="M49" s="515"/>
      <c r="N49" s="515"/>
      <c r="O49" s="515"/>
      <c r="P49" s="125" t="n">
        <v>1</v>
      </c>
      <c r="Q49" s="125"/>
      <c r="R49" s="435"/>
      <c r="S49" s="299"/>
      <c r="T49" s="507"/>
      <c r="U49" s="508"/>
      <c r="V49" s="543"/>
      <c r="W49" s="543"/>
      <c r="X49" s="543"/>
      <c r="Y49" s="543"/>
      <c r="Z49" s="543"/>
      <c r="AA49" s="543"/>
      <c r="AB49" s="509"/>
      <c r="AC49" s="509"/>
      <c r="AD49" s="509"/>
      <c r="AE49" s="509"/>
      <c r="AF49" s="509"/>
      <c r="AG49" s="509"/>
      <c r="AH49" s="509"/>
      <c r="AI49" s="509"/>
      <c r="AJ49" s="509"/>
      <c r="AK49" s="509"/>
      <c r="AL49" s="509"/>
      <c r="AM49" s="509"/>
      <c r="AN49" s="509"/>
      <c r="AO49" s="509"/>
      <c r="AP49" s="509"/>
      <c r="AQ49" s="509"/>
      <c r="AR49" s="509"/>
      <c r="AS49" s="509"/>
      <c r="AT49" s="509"/>
      <c r="AU49" s="510"/>
      <c r="AW49" s="122"/>
      <c r="AX49" s="122" t="str">
        <f aca="false">IF(T49="","",T49)</f>
        <v/>
      </c>
      <c r="AY49" s="122"/>
      <c r="AZ49" s="122"/>
      <c r="BA49" s="49" t="n">
        <v>1</v>
      </c>
    </row>
    <row r="50" s="49" customFormat="true" ht="0.75" hidden="false" customHeight="true" outlineLevel="0" collapsed="false">
      <c r="A50" s="126" t="s">
        <v>197</v>
      </c>
      <c r="B50" s="126" t="s">
        <v>198</v>
      </c>
      <c r="C50" s="126" t="s">
        <v>199</v>
      </c>
      <c r="D50" s="126" t="s">
        <v>200</v>
      </c>
      <c r="E50" s="418"/>
      <c r="F50" s="418"/>
      <c r="G50" s="418"/>
      <c r="H50" s="418"/>
      <c r="I50" s="434"/>
      <c r="J50" s="434" t="str">
        <f aca="false">S48&amp;".1"</f>
        <v>....1</v>
      </c>
      <c r="K50" s="126"/>
      <c r="L50" s="194"/>
      <c r="M50" s="515"/>
      <c r="N50" s="515"/>
      <c r="O50" s="515"/>
      <c r="P50" s="125"/>
      <c r="Q50" s="125" t="n">
        <v>1</v>
      </c>
      <c r="R50" s="438"/>
      <c r="S50" s="299"/>
      <c r="T50" s="544"/>
      <c r="U50" s="508"/>
      <c r="V50" s="543"/>
      <c r="W50" s="543"/>
      <c r="X50" s="543"/>
      <c r="Y50" s="543"/>
      <c r="Z50" s="543"/>
      <c r="AA50" s="543"/>
      <c r="AB50" s="509"/>
      <c r="AC50" s="509"/>
      <c r="AD50" s="509"/>
      <c r="AE50" s="509"/>
      <c r="AF50" s="509"/>
      <c r="AG50" s="509"/>
      <c r="AH50" s="509"/>
      <c r="AI50" s="509"/>
      <c r="AJ50" s="509"/>
      <c r="AK50" s="509"/>
      <c r="AL50" s="509"/>
      <c r="AM50" s="509"/>
      <c r="AN50" s="509"/>
      <c r="AO50" s="509"/>
      <c r="AP50" s="509"/>
      <c r="AQ50" s="509"/>
      <c r="AR50" s="509"/>
      <c r="AS50" s="509"/>
      <c r="AT50" s="509"/>
      <c r="AU50" s="510"/>
      <c r="AW50" s="122"/>
      <c r="AX50" s="122" t="str">
        <f aca="false">IF(T50="","",T50)</f>
        <v/>
      </c>
      <c r="AY50" s="122"/>
      <c r="AZ50" s="122"/>
      <c r="BA50" s="49" t="n">
        <v>1</v>
      </c>
    </row>
    <row r="51" customFormat="false" ht="21.75" hidden="false" customHeight="true" outlineLevel="0" collapsed="false">
      <c r="A51" s="417" t="s">
        <v>197</v>
      </c>
      <c r="B51" s="417" t="s">
        <v>198</v>
      </c>
      <c r="C51" s="417" t="s">
        <v>199</v>
      </c>
      <c r="D51" s="417" t="s">
        <v>200</v>
      </c>
      <c r="E51" s="418"/>
      <c r="F51" s="418"/>
      <c r="G51" s="418"/>
      <c r="H51" s="418"/>
      <c r="I51" s="434"/>
      <c r="J51" s="434"/>
      <c r="K51" s="434" t="str">
        <f aca="false">S48&amp;".1"</f>
        <v>....1</v>
      </c>
      <c r="L51" s="419"/>
      <c r="P51" s="125"/>
      <c r="Q51" s="125"/>
      <c r="R51" s="438" t="n">
        <v>1</v>
      </c>
      <c r="S51" s="422" t="str">
        <f aca="false">$K51</f>
        <v>....1</v>
      </c>
      <c r="T51" s="546"/>
      <c r="U51" s="424"/>
      <c r="V51" s="441"/>
      <c r="W51" s="443"/>
      <c r="X51" s="444"/>
      <c r="Y51" s="206" t="s">
        <v>64</v>
      </c>
      <c r="Z51" s="444"/>
      <c r="AA51" s="206" t="s">
        <v>64</v>
      </c>
      <c r="AB51" s="206" t="s">
        <v>19</v>
      </c>
      <c r="AC51" s="547"/>
      <c r="AD51" s="295" t="n">
        <v>1</v>
      </c>
      <c r="AE51" s="94"/>
      <c r="AF51" s="206" t="s">
        <v>19</v>
      </c>
      <c r="AG51" s="547"/>
      <c r="AH51" s="295" t="n">
        <v>1</v>
      </c>
      <c r="AI51" s="94"/>
      <c r="AJ51" s="206" t="s">
        <v>19</v>
      </c>
      <c r="AK51" s="548"/>
      <c r="AL51" s="295" t="n">
        <v>1</v>
      </c>
      <c r="AM51" s="577"/>
      <c r="AN51" s="441"/>
      <c r="AO51" s="443"/>
      <c r="AP51" s="444"/>
      <c r="AQ51" s="206" t="s">
        <v>64</v>
      </c>
      <c r="AR51" s="444"/>
      <c r="AS51" s="206" t="s">
        <v>64</v>
      </c>
      <c r="AT51" s="493"/>
      <c r="AU51" s="445" t="s">
        <v>477</v>
      </c>
      <c r="AV51" s="49" t="e">
        <f aca="false">strcheckdate(V54:AT54)</f>
        <v>#NAME?</v>
      </c>
      <c r="AW51" s="122"/>
      <c r="AX51" s="122" t="str">
        <f aca="false">IF(T51="","",T51)</f>
        <v/>
      </c>
      <c r="AY51" s="122"/>
      <c r="AZ51" s="122"/>
      <c r="BA51" s="42" t="n">
        <v>21</v>
      </c>
    </row>
    <row r="52" customFormat="false" ht="11.25" hidden="false" customHeight="true" outlineLevel="0" collapsed="false">
      <c r="A52" s="417" t="s">
        <v>197</v>
      </c>
      <c r="B52" s="417"/>
      <c r="C52" s="417"/>
      <c r="D52" s="417"/>
      <c r="E52" s="418"/>
      <c r="F52" s="418"/>
      <c r="G52" s="418"/>
      <c r="H52" s="418"/>
      <c r="I52" s="434"/>
      <c r="J52" s="434"/>
      <c r="K52" s="434"/>
      <c r="L52" s="419"/>
      <c r="P52" s="125"/>
      <c r="Q52" s="125"/>
      <c r="R52" s="438"/>
      <c r="S52" s="422"/>
      <c r="T52" s="546"/>
      <c r="U52" s="424"/>
      <c r="V52" s="537"/>
      <c r="W52" s="551"/>
      <c r="X52" s="537"/>
      <c r="Y52" s="537"/>
      <c r="Z52" s="537"/>
      <c r="AA52" s="537"/>
      <c r="AB52" s="206"/>
      <c r="AC52" s="547"/>
      <c r="AD52" s="295"/>
      <c r="AE52" s="94"/>
      <c r="AF52" s="206"/>
      <c r="AG52" s="547"/>
      <c r="AH52" s="295"/>
      <c r="AI52" s="94"/>
      <c r="AJ52" s="206"/>
      <c r="AK52" s="550"/>
      <c r="AL52" s="170"/>
      <c r="AM52" s="165" t="s">
        <v>462</v>
      </c>
      <c r="AN52" s="537"/>
      <c r="AO52" s="551"/>
      <c r="AP52" s="537"/>
      <c r="AQ52" s="537"/>
      <c r="AR52" s="537"/>
      <c r="AS52" s="537"/>
      <c r="AT52" s="552"/>
      <c r="AU52" s="445"/>
      <c r="AW52" s="122"/>
      <c r="AX52" s="122"/>
      <c r="AY52" s="122"/>
      <c r="AZ52" s="122"/>
      <c r="BA52" s="42" t="n">
        <v>11</v>
      </c>
    </row>
    <row r="53" customFormat="false" ht="11.25" hidden="false" customHeight="true" outlineLevel="0" collapsed="false">
      <c r="A53" s="417" t="s">
        <v>197</v>
      </c>
      <c r="B53" s="417"/>
      <c r="C53" s="417"/>
      <c r="D53" s="417"/>
      <c r="E53" s="418"/>
      <c r="F53" s="418"/>
      <c r="G53" s="418"/>
      <c r="H53" s="418"/>
      <c r="I53" s="434"/>
      <c r="J53" s="434"/>
      <c r="K53" s="434"/>
      <c r="L53" s="419"/>
      <c r="P53" s="125"/>
      <c r="Q53" s="125"/>
      <c r="R53" s="438"/>
      <c r="S53" s="422"/>
      <c r="T53" s="546"/>
      <c r="U53" s="424"/>
      <c r="V53" s="537"/>
      <c r="W53" s="551"/>
      <c r="X53" s="537"/>
      <c r="Y53" s="537"/>
      <c r="Z53" s="537"/>
      <c r="AA53" s="537"/>
      <c r="AB53" s="206"/>
      <c r="AC53" s="547"/>
      <c r="AD53" s="295"/>
      <c r="AE53" s="94"/>
      <c r="AF53" s="206"/>
      <c r="AG53" s="553"/>
      <c r="AH53" s="165"/>
      <c r="AI53" s="165" t="s">
        <v>463</v>
      </c>
      <c r="AJ53" s="537"/>
      <c r="AK53" s="537"/>
      <c r="AL53" s="537"/>
      <c r="AM53" s="537"/>
      <c r="AN53" s="537"/>
      <c r="AO53" s="551"/>
      <c r="AP53" s="537"/>
      <c r="AQ53" s="537"/>
      <c r="AR53" s="537"/>
      <c r="AS53" s="537"/>
      <c r="AT53" s="552"/>
      <c r="AU53" s="445"/>
      <c r="AW53" s="122"/>
      <c r="AX53" s="122"/>
      <c r="AY53" s="122"/>
      <c r="AZ53" s="122"/>
      <c r="BA53" s="42" t="n">
        <v>11</v>
      </c>
    </row>
    <row r="54" customFormat="false" ht="11.25" hidden="false" customHeight="true" outlineLevel="0" collapsed="false">
      <c r="A54" s="417" t="s">
        <v>197</v>
      </c>
      <c r="B54" s="417" t="s">
        <v>198</v>
      </c>
      <c r="C54" s="417" t="s">
        <v>199</v>
      </c>
      <c r="D54" s="417" t="s">
        <v>200</v>
      </c>
      <c r="E54" s="418"/>
      <c r="F54" s="418"/>
      <c r="G54" s="418"/>
      <c r="H54" s="418"/>
      <c r="I54" s="434"/>
      <c r="J54" s="434"/>
      <c r="K54" s="434"/>
      <c r="L54" s="419"/>
      <c r="P54" s="125"/>
      <c r="Q54" s="125"/>
      <c r="R54" s="438"/>
      <c r="S54" s="422"/>
      <c r="T54" s="546"/>
      <c r="U54" s="424"/>
      <c r="V54" s="537"/>
      <c r="W54" s="538" t="str">
        <f aca="false">X51&amp;"-"&amp;Z51</f>
        <v>-</v>
      </c>
      <c r="X54" s="537"/>
      <c r="Y54" s="537"/>
      <c r="Z54" s="537"/>
      <c r="AA54" s="537"/>
      <c r="AB54" s="206"/>
      <c r="AC54" s="555"/>
      <c r="AD54" s="556"/>
      <c r="AE54" s="165" t="s">
        <v>464</v>
      </c>
      <c r="AF54" s="537"/>
      <c r="AG54" s="537"/>
      <c r="AH54" s="537"/>
      <c r="AI54" s="537"/>
      <c r="AJ54" s="537"/>
      <c r="AK54" s="537"/>
      <c r="AL54" s="537"/>
      <c r="AM54" s="537"/>
      <c r="AN54" s="537"/>
      <c r="AO54" s="538" t="str">
        <f aca="false">AP51&amp;"-"&amp;AR51</f>
        <v>-</v>
      </c>
      <c r="AP54" s="537"/>
      <c r="AQ54" s="537"/>
      <c r="AR54" s="537"/>
      <c r="AS54" s="537"/>
      <c r="AT54" s="494"/>
      <c r="AU54" s="445"/>
      <c r="AW54" s="122"/>
      <c r="AX54" s="122" t="str">
        <f aca="false">IF(T54="","",T54)</f>
        <v/>
      </c>
      <c r="AY54" s="122"/>
      <c r="AZ54" s="122"/>
      <c r="BA54" s="42" t="n">
        <v>11</v>
      </c>
    </row>
    <row r="55" customFormat="false" ht="11.25" hidden="false" customHeight="true" outlineLevel="0" collapsed="false">
      <c r="A55" s="417" t="s">
        <v>197</v>
      </c>
      <c r="B55" s="417" t="s">
        <v>198</v>
      </c>
      <c r="C55" s="417" t="s">
        <v>199</v>
      </c>
      <c r="D55" s="417" t="s">
        <v>200</v>
      </c>
      <c r="E55" s="418"/>
      <c r="F55" s="418"/>
      <c r="G55" s="418"/>
      <c r="H55" s="418"/>
      <c r="I55" s="434"/>
      <c r="J55" s="434"/>
      <c r="K55" s="417"/>
      <c r="L55" s="419"/>
      <c r="P55" s="125"/>
      <c r="Q55" s="125"/>
      <c r="R55" s="435"/>
      <c r="S55" s="447"/>
      <c r="T55" s="450" t="s">
        <v>465</v>
      </c>
      <c r="U55" s="196"/>
      <c r="V55" s="196"/>
      <c r="W55" s="196"/>
      <c r="X55" s="196"/>
      <c r="Y55" s="196"/>
      <c r="Z55" s="196"/>
      <c r="AA55" s="449"/>
      <c r="AB55" s="578"/>
      <c r="AC55" s="196"/>
      <c r="AD55" s="196"/>
      <c r="AE55" s="196"/>
      <c r="AF55" s="196"/>
      <c r="AG55" s="196"/>
      <c r="AH55" s="196"/>
      <c r="AI55" s="196"/>
      <c r="AJ55" s="196"/>
      <c r="AK55" s="196"/>
      <c r="AL55" s="196"/>
      <c r="AM55" s="196"/>
      <c r="AN55" s="196"/>
      <c r="AO55" s="196"/>
      <c r="AP55" s="196"/>
      <c r="AQ55" s="196"/>
      <c r="AR55" s="196"/>
      <c r="AS55" s="196"/>
      <c r="AT55" s="449"/>
      <c r="AU55" s="445"/>
      <c r="AW55" s="122"/>
      <c r="AX55" s="122" t="str">
        <f aca="false">IF(T55="","",T55)</f>
        <v>Добавить строку</v>
      </c>
      <c r="AY55" s="122"/>
      <c r="AZ55" s="122"/>
      <c r="BA55" s="42" t="n">
        <v>11</v>
      </c>
    </row>
    <row r="56" s="49" customFormat="true" ht="0.75" hidden="false" customHeight="true" outlineLevel="0" collapsed="false">
      <c r="A56" s="126" t="s">
        <v>197</v>
      </c>
      <c r="B56" s="126" t="s">
        <v>198</v>
      </c>
      <c r="C56" s="126" t="s">
        <v>199</v>
      </c>
      <c r="D56" s="126" t="s">
        <v>200</v>
      </c>
      <c r="E56" s="418"/>
      <c r="F56" s="418"/>
      <c r="G56" s="418"/>
      <c r="H56" s="418"/>
      <c r="I56" s="434"/>
      <c r="J56" s="126"/>
      <c r="K56" s="126"/>
      <c r="L56" s="194"/>
      <c r="M56" s="515"/>
      <c r="N56" s="515"/>
      <c r="O56" s="515"/>
      <c r="P56" s="125"/>
      <c r="Q56" s="125"/>
      <c r="R56" s="435"/>
      <c r="S56" s="511"/>
      <c r="T56" s="512" t="s">
        <v>409</v>
      </c>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4"/>
      <c r="AW56" s="122"/>
      <c r="AX56" s="122" t="str">
        <f aca="false">IF(T56="","",T56)</f>
        <v>Добавить группу потребителей</v>
      </c>
      <c r="AY56" s="122"/>
      <c r="AZ56" s="122"/>
      <c r="BA56" s="49" t="n">
        <v>1</v>
      </c>
    </row>
    <row r="57" s="124" customFormat="true" ht="0.75" hidden="false" customHeight="true" outlineLevel="0" collapsed="false">
      <c r="A57" s="126" t="s">
        <v>197</v>
      </c>
      <c r="B57" s="126" t="s">
        <v>198</v>
      </c>
      <c r="C57" s="126" t="s">
        <v>199</v>
      </c>
      <c r="D57" s="126" t="s">
        <v>200</v>
      </c>
      <c r="E57" s="418"/>
      <c r="F57" s="418"/>
      <c r="G57" s="418"/>
      <c r="H57" s="418"/>
      <c r="I57" s="126"/>
      <c r="J57" s="126"/>
      <c r="K57" s="126"/>
      <c r="L57" s="194"/>
      <c r="M57" s="402"/>
      <c r="N57" s="402"/>
      <c r="O57" s="49"/>
      <c r="P57" s="160"/>
      <c r="Q57" s="455"/>
      <c r="R57" s="579"/>
      <c r="S57" s="511"/>
      <c r="T57" s="512"/>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4"/>
      <c r="AV57" s="49"/>
      <c r="AW57" s="122"/>
      <c r="AX57" s="122" t="str">
        <f aca="false">IF(T57="","",T57)</f>
        <v/>
      </c>
      <c r="AY57" s="122"/>
      <c r="AZ57" s="122"/>
      <c r="BA57" s="124" t="n">
        <v>1</v>
      </c>
    </row>
    <row r="58" s="49" customFormat="true" ht="0.75" hidden="false" customHeight="true" outlineLevel="0" collapsed="false">
      <c r="A58" s="126" t="s">
        <v>197</v>
      </c>
      <c r="B58" s="126" t="s">
        <v>198</v>
      </c>
      <c r="C58" s="126" t="s">
        <v>199</v>
      </c>
      <c r="D58" s="126"/>
      <c r="E58" s="418"/>
      <c r="F58" s="418"/>
      <c r="G58" s="418"/>
      <c r="H58" s="126"/>
      <c r="I58" s="126"/>
      <c r="J58" s="126"/>
      <c r="K58" s="126"/>
      <c r="L58" s="194"/>
      <c r="M58" s="402"/>
      <c r="N58" s="402"/>
      <c r="P58" s="160"/>
      <c r="Q58" s="455"/>
      <c r="R58" s="160"/>
      <c r="S58" s="460"/>
      <c r="T58" s="463" t="s">
        <v>411</v>
      </c>
      <c r="U58" s="462"/>
      <c r="V58" s="462"/>
      <c r="W58" s="462"/>
      <c r="X58" s="462"/>
      <c r="Y58" s="462"/>
      <c r="Z58" s="462"/>
      <c r="AA58" s="462"/>
      <c r="AB58" s="462"/>
      <c r="AC58" s="462"/>
      <c r="AD58" s="462"/>
      <c r="AE58" s="462"/>
      <c r="AF58" s="462"/>
      <c r="AG58" s="462"/>
      <c r="AH58" s="462"/>
      <c r="AI58" s="462"/>
      <c r="AJ58" s="462"/>
      <c r="AK58" s="462"/>
      <c r="AL58" s="462"/>
      <c r="AM58" s="462"/>
      <c r="AN58" s="462"/>
      <c r="AO58" s="462"/>
      <c r="AP58" s="462"/>
      <c r="AQ58" s="462"/>
      <c r="AR58" s="462"/>
      <c r="AS58" s="462"/>
      <c r="AT58" s="462"/>
      <c r="AU58" s="462"/>
      <c r="AW58" s="122"/>
      <c r="AX58" s="122" t="str">
        <f aca="false">IF(T58="","",T58)</f>
        <v>Добавить источник для дифференциации</v>
      </c>
      <c r="AY58" s="122"/>
      <c r="AZ58" s="122"/>
      <c r="BA58" s="49" t="n">
        <v>1</v>
      </c>
    </row>
    <row r="59" s="49" customFormat="true" ht="0.75" hidden="false" customHeight="true" outlineLevel="0" collapsed="false">
      <c r="A59" s="126" t="s">
        <v>197</v>
      </c>
      <c r="B59" s="126" t="s">
        <v>198</v>
      </c>
      <c r="C59" s="126"/>
      <c r="D59" s="126"/>
      <c r="E59" s="418"/>
      <c r="F59" s="418"/>
      <c r="G59" s="126"/>
      <c r="H59" s="126"/>
      <c r="I59" s="126"/>
      <c r="J59" s="126"/>
      <c r="K59" s="126"/>
      <c r="L59" s="194"/>
      <c r="M59" s="459"/>
      <c r="N59" s="459"/>
      <c r="P59" s="160"/>
      <c r="Q59" s="455"/>
      <c r="R59" s="160"/>
      <c r="S59" s="460"/>
      <c r="T59" s="463" t="s">
        <v>412</v>
      </c>
      <c r="U59" s="462"/>
      <c r="V59" s="462"/>
      <c r="W59" s="462"/>
      <c r="X59" s="462"/>
      <c r="Y59" s="462"/>
      <c r="Z59" s="462"/>
      <c r="AA59" s="462"/>
      <c r="AB59" s="462"/>
      <c r="AC59" s="462"/>
      <c r="AD59" s="462"/>
      <c r="AE59" s="462"/>
      <c r="AF59" s="462"/>
      <c r="AG59" s="462"/>
      <c r="AH59" s="462"/>
      <c r="AI59" s="462"/>
      <c r="AJ59" s="462"/>
      <c r="AK59" s="462"/>
      <c r="AL59" s="462"/>
      <c r="AM59" s="462"/>
      <c r="AN59" s="462"/>
      <c r="AO59" s="462"/>
      <c r="AP59" s="462"/>
      <c r="AQ59" s="462"/>
      <c r="AR59" s="462"/>
      <c r="AS59" s="462"/>
      <c r="AT59" s="462"/>
      <c r="AU59" s="462"/>
      <c r="AW59" s="122"/>
      <c r="AX59" s="122" t="str">
        <f aca="false">IF(T59="","",T59)</f>
        <v>Добавить централизованную систему для дифференциации</v>
      </c>
      <c r="AY59" s="122"/>
      <c r="AZ59" s="122"/>
      <c r="BA59" s="49" t="n">
        <v>1</v>
      </c>
    </row>
    <row r="60" s="49" customFormat="true" ht="0.75" hidden="false" customHeight="true" outlineLevel="0" collapsed="false">
      <c r="A60" s="126" t="s">
        <v>197</v>
      </c>
      <c r="B60" s="126"/>
      <c r="C60" s="126"/>
      <c r="D60" s="126"/>
      <c r="E60" s="418"/>
      <c r="F60" s="126"/>
      <c r="G60" s="126"/>
      <c r="H60" s="126"/>
      <c r="I60" s="126"/>
      <c r="J60" s="126"/>
      <c r="K60" s="126"/>
      <c r="L60" s="194"/>
      <c r="M60" s="459"/>
      <c r="N60" s="459"/>
      <c r="P60" s="160"/>
      <c r="Q60" s="455"/>
      <c r="R60" s="160"/>
      <c r="S60" s="460"/>
      <c r="T60" s="463" t="s">
        <v>413</v>
      </c>
      <c r="U60" s="462"/>
      <c r="V60" s="462"/>
      <c r="W60" s="462"/>
      <c r="X60" s="462"/>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W60" s="122"/>
      <c r="AX60" s="122" t="str">
        <f aca="false">IF(T60="","",T60)</f>
        <v>Добавить территорию для дифференциации</v>
      </c>
      <c r="AY60" s="122"/>
      <c r="AZ60" s="122"/>
      <c r="BA60" s="49" t="n">
        <v>1</v>
      </c>
    </row>
    <row r="61" s="49" customFormat="true" ht="0.75" hidden="false" customHeight="true" outlineLevel="0" collapsed="false">
      <c r="A61" s="126" t="s">
        <v>197</v>
      </c>
      <c r="B61" s="126"/>
      <c r="C61" s="126"/>
      <c r="D61" s="126"/>
      <c r="E61" s="418"/>
      <c r="F61" s="126"/>
      <c r="G61" s="126"/>
      <c r="H61" s="126"/>
      <c r="I61" s="126"/>
      <c r="J61" s="126"/>
      <c r="K61" s="126"/>
      <c r="L61" s="194"/>
      <c r="M61" s="459"/>
      <c r="N61" s="459"/>
      <c r="P61" s="160"/>
      <c r="Q61" s="455"/>
      <c r="R61" s="160"/>
      <c r="S61" s="460"/>
      <c r="T61" s="463" t="s">
        <v>413</v>
      </c>
      <c r="U61" s="462"/>
      <c r="V61" s="462"/>
      <c r="W61" s="462"/>
      <c r="X61" s="462"/>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W61" s="122"/>
      <c r="AX61" s="122" t="str">
        <f aca="false">IF(T61="","",T61)</f>
        <v>Добавить территорию для дифференциации</v>
      </c>
      <c r="AY61" s="122"/>
      <c r="AZ61" s="122"/>
      <c r="BA61" s="49" t="n">
        <v>1</v>
      </c>
    </row>
    <row r="62" s="49" customFormat="true" ht="0.75" hidden="false" customHeight="true" outlineLevel="0" collapsed="false">
      <c r="A62" s="126"/>
      <c r="B62" s="126"/>
      <c r="C62" s="126"/>
      <c r="D62" s="126"/>
      <c r="E62" s="126"/>
      <c r="F62" s="126"/>
      <c r="G62" s="126"/>
      <c r="H62" s="126"/>
      <c r="I62" s="126"/>
      <c r="J62" s="126"/>
      <c r="K62" s="126"/>
      <c r="L62" s="194"/>
      <c r="M62" s="459"/>
      <c r="N62" s="459"/>
      <c r="P62" s="160"/>
      <c r="Q62" s="455"/>
      <c r="R62" s="160"/>
      <c r="S62" s="460"/>
      <c r="T62" s="463" t="s">
        <v>445</v>
      </c>
      <c r="U62" s="462"/>
      <c r="V62" s="462"/>
      <c r="W62" s="462"/>
      <c r="X62" s="462"/>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W62" s="122"/>
      <c r="AX62" s="122" t="str">
        <f aca="false">IF(T62="","",T62)</f>
        <v>Добавить наименование тарифа</v>
      </c>
      <c r="AY62" s="122"/>
      <c r="AZ62" s="122"/>
      <c r="BA62" s="49" t="n">
        <v>1</v>
      </c>
    </row>
    <row r="63" customFormat="false" ht="11.25" hidden="false" customHeight="true" outlineLevel="0" collapsed="false">
      <c r="M63" s="45"/>
      <c r="N63" s="45"/>
      <c r="O63" s="45"/>
      <c r="P63" s="45"/>
      <c r="Q63" s="45"/>
      <c r="R63" s="42"/>
      <c r="S63" s="42"/>
      <c r="AV63" s="42"/>
      <c r="AW63" s="42"/>
      <c r="AX63" s="42"/>
      <c r="AY63" s="42"/>
      <c r="AZ63" s="42"/>
      <c r="BA63" s="42" t="n">
        <v>11</v>
      </c>
    </row>
    <row r="64" customFormat="false" ht="19.5" hidden="false" customHeight="true" outlineLevel="0" collapsed="false">
      <c r="O64" s="45"/>
      <c r="S64" s="414"/>
      <c r="T64" s="495"/>
      <c r="U64" s="495"/>
      <c r="V64" s="495"/>
      <c r="W64" s="495"/>
      <c r="X64" s="495"/>
      <c r="Y64" s="495"/>
      <c r="Z64" s="495"/>
      <c r="AA64" s="495"/>
      <c r="AB64" s="495"/>
      <c r="AC64" s="495"/>
      <c r="AD64" s="495"/>
      <c r="AE64" s="495"/>
      <c r="AF64" s="495"/>
      <c r="AG64" s="495"/>
      <c r="AH64" s="495"/>
      <c r="AI64" s="495"/>
      <c r="AJ64" s="495"/>
      <c r="AK64" s="495"/>
      <c r="AL64" s="495"/>
      <c r="AM64" s="495"/>
      <c r="AN64" s="495"/>
      <c r="AO64" s="495"/>
      <c r="AP64" s="495"/>
      <c r="AQ64" s="495"/>
      <c r="AR64" s="495"/>
      <c r="AS64" s="495"/>
      <c r="AT64" s="495"/>
      <c r="AU64" s="495"/>
      <c r="BA64" s="42" t="n">
        <v>19</v>
      </c>
    </row>
    <row r="65" customFormat="false" ht="21" hidden="false" customHeight="true" outlineLevel="0" collapsed="false">
      <c r="O65" s="4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BA65" s="42" t="n">
        <v>20</v>
      </c>
    </row>
    <row r="66" customFormat="false" ht="14.25" hidden="false" customHeight="true" outlineLevel="0" collapsed="false">
      <c r="O66" s="4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BA66" s="42" t="n">
        <v>14</v>
      </c>
    </row>
    <row r="67" customFormat="false" ht="19.5" hidden="false" customHeight="true" outlineLevel="0" collapsed="false">
      <c r="O67" s="45"/>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BA67" s="42" t="n">
        <v>19</v>
      </c>
    </row>
    <row r="68" customFormat="false" ht="16.5" hidden="false" customHeight="true" outlineLevel="0" collapsed="false">
      <c r="O68" s="45"/>
      <c r="T68" s="495"/>
      <c r="U68" s="495"/>
      <c r="V68" s="495"/>
      <c r="W68" s="495"/>
      <c r="X68" s="495"/>
      <c r="Y68" s="495"/>
      <c r="Z68" s="495"/>
      <c r="AA68" s="495"/>
      <c r="AB68" s="495"/>
      <c r="AC68" s="495"/>
      <c r="AD68" s="495"/>
      <c r="AE68" s="495"/>
      <c r="AF68" s="495"/>
      <c r="AG68" s="495"/>
      <c r="AH68" s="495"/>
      <c r="AI68" s="495"/>
      <c r="AJ68" s="495"/>
      <c r="AK68" s="495"/>
      <c r="AL68" s="495"/>
      <c r="AM68" s="495"/>
      <c r="AN68" s="495"/>
      <c r="AO68" s="495"/>
      <c r="AP68" s="495"/>
      <c r="AQ68" s="495"/>
      <c r="AR68" s="495"/>
      <c r="AS68" s="495"/>
      <c r="AT68" s="495"/>
      <c r="AU68" s="495"/>
      <c r="BA68" s="42" t="n">
        <v>16</v>
      </c>
    </row>
    <row r="69" customFormat="false" ht="14.25" hidden="false" customHeight="true" outlineLevel="0" collapsed="false">
      <c r="O69" s="45"/>
      <c r="BA69" s="42" t="n">
        <v>14</v>
      </c>
    </row>
    <row r="70" customFormat="false" ht="22.5" hidden="true" customHeight="true" outlineLevel="0" collapsed="false">
      <c r="A70" s="45" t="s">
        <v>80</v>
      </c>
      <c r="B70" s="45" t="n">
        <v>0</v>
      </c>
      <c r="C70" s="45" t="n">
        <v>0</v>
      </c>
      <c r="D70" s="45" t="n">
        <v>0</v>
      </c>
      <c r="E70" s="45" t="n">
        <v>0</v>
      </c>
      <c r="F70" s="45" t="n">
        <v>0</v>
      </c>
      <c r="G70" s="45" t="n">
        <v>0</v>
      </c>
      <c r="H70" s="45" t="n">
        <v>0</v>
      </c>
      <c r="I70" s="45" t="n">
        <v>0</v>
      </c>
      <c r="J70" s="45" t="n">
        <v>0</v>
      </c>
      <c r="K70" s="45" t="n">
        <v>0</v>
      </c>
      <c r="L70" s="107" t="n">
        <v>0</v>
      </c>
      <c r="M70" s="53" t="n">
        <v>0</v>
      </c>
      <c r="N70" s="53" t="n">
        <v>0</v>
      </c>
      <c r="O70" s="53" t="n">
        <v>0</v>
      </c>
      <c r="P70" s="53" t="n">
        <v>3</v>
      </c>
      <c r="Q70" s="469" t="n">
        <v>3</v>
      </c>
      <c r="R70" s="416" t="n">
        <v>3</v>
      </c>
      <c r="S70" s="77" t="n">
        <v>12</v>
      </c>
      <c r="T70" s="42" t="n">
        <v>31</v>
      </c>
      <c r="U70" s="42" t="n">
        <v>0</v>
      </c>
      <c r="V70" s="42" t="n">
        <v>0</v>
      </c>
      <c r="W70" s="42" t="n">
        <v>0</v>
      </c>
      <c r="X70" s="42" t="n">
        <v>0</v>
      </c>
      <c r="Y70" s="42" t="n">
        <v>0</v>
      </c>
      <c r="Z70" s="42" t="n">
        <v>0</v>
      </c>
      <c r="AA70" s="42" t="n">
        <v>0</v>
      </c>
      <c r="AB70" s="42" t="n">
        <v>5</v>
      </c>
      <c r="AC70" s="42" t="n">
        <v>3</v>
      </c>
      <c r="AD70" s="42" t="n">
        <v>3</v>
      </c>
      <c r="AE70" s="42" t="n">
        <v>24</v>
      </c>
      <c r="AF70" s="42" t="n">
        <v>3</v>
      </c>
      <c r="AG70" s="42" t="n">
        <v>3</v>
      </c>
      <c r="AH70" s="42" t="n">
        <v>3</v>
      </c>
      <c r="AI70" s="42" t="n">
        <v>24</v>
      </c>
      <c r="AJ70" s="42" t="n">
        <v>3</v>
      </c>
      <c r="AK70" s="42" t="n">
        <v>3</v>
      </c>
      <c r="AL70" s="42" t="n">
        <v>3</v>
      </c>
      <c r="AM70" s="42" t="n">
        <v>18</v>
      </c>
      <c r="AN70" s="42" t="n">
        <v>21</v>
      </c>
      <c r="AO70" s="42" t="n">
        <v>21</v>
      </c>
      <c r="AP70" s="42" t="n">
        <v>11</v>
      </c>
      <c r="AQ70" s="42" t="n">
        <v>3</v>
      </c>
      <c r="AR70" s="42" t="n">
        <v>11</v>
      </c>
      <c r="AS70" s="42" t="n">
        <v>8</v>
      </c>
      <c r="AT70" s="42" t="n">
        <v>4</v>
      </c>
      <c r="AU70" s="42" t="n">
        <v>115</v>
      </c>
      <c r="AV70" s="49" t="n">
        <v>10</v>
      </c>
      <c r="AW70" s="49" t="n">
        <v>10</v>
      </c>
      <c r="AX70" s="49" t="n">
        <v>10</v>
      </c>
      <c r="AY70" s="49" t="n">
        <v>10</v>
      </c>
      <c r="AZ70" s="49" t="n">
        <v>10</v>
      </c>
      <c r="BA70" s="42" t="n">
        <v>23</v>
      </c>
    </row>
  </sheetData>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6">
    <dataValidation allowBlank="true" error="Допускается ввод не более 900 символов!" errorStyle="stop" errorTitle="Ошибка" operator="lessThanOrEqual" showDropDown="false" showErrorMessage="true" showInputMessage="true" sqref="T8:T11 T51:T54"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Y10 AA8:AB8 AE8:AF8 AI8:AJ8 AQ8 AS8 AA9:AA10 AB19 AE19:AF19 AI19:AJ19 AQ19 AS19 Y51 AA51:AB51 AE51:AF51 AI51:AJ51 AQ51 AS51"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X9 Z8:Z10 AP8 AR8 X10 AP19 AR19 X51 Z51 AP51 AR51" type="none">
      <formula1>0</formula1>
      <formula2>0</formula2>
    </dataValidation>
    <dataValidation allowBlank="true" error="Выберите значение из списка" errorStyle="stop" errorTitle="Ошибка" operator="between" showDropDown="false" showErrorMessage="false" showInputMessage="false" sqref="V42:W42"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N42:AO42" type="list">
      <formula1>UNIT_CONNECT_LIST</formula1>
      <formula2>0</formula2>
    </dataValidation>
    <dataValidation allowBlank="true" errorStyle="stop" operator="between" promptTitle="checkPeriodRange" showDropDown="false" showErrorMessage="false" showInputMessage="false" sqref="W11 AO11 W54 AO54"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478</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479</v>
      </c>
      <c r="AM4" s="122"/>
      <c r="AN4" s="122" t="str">
        <f aca="false">IF(T4="","",T4)</f>
        <v>Наименование централизованной системы холодного водоснабжения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584"/>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14.25"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35.25"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489</v>
      </c>
      <c r="W39" s="220" t="s">
        <v>490</v>
      </c>
      <c r="X39" s="220" t="s">
        <v>491</v>
      </c>
      <c r="Y39" s="220" t="s">
        <v>443</v>
      </c>
      <c r="Z39" s="220" t="s">
        <v>444</v>
      </c>
      <c r="AA39" s="220"/>
      <c r="AB39" s="395"/>
      <c r="AC39" s="589" t="s">
        <v>489</v>
      </c>
      <c r="AD39" s="220" t="s">
        <v>490</v>
      </c>
      <c r="AE39" s="220" t="s">
        <v>491</v>
      </c>
      <c r="AF39" s="220" t="s">
        <v>443</v>
      </c>
      <c r="AG39" s="220" t="s">
        <v>444</v>
      </c>
      <c r="AH39" s="220"/>
      <c r="AI39" s="395"/>
      <c r="AJ39" s="482"/>
      <c r="AK39" s="138"/>
      <c r="AQ39" s="42" t="n">
        <v>34</v>
      </c>
    </row>
    <row r="40" s="124" customFormat="true" ht="11.25" hidden="true" customHeight="tru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223</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223</v>
      </c>
      <c r="B42" s="417" t="s">
        <v>224</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223</v>
      </c>
      <c r="B43" s="417" t="s">
        <v>224</v>
      </c>
      <c r="C43" s="417" t="s">
        <v>225</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478</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479</v>
      </c>
      <c r="AM43" s="122"/>
      <c r="AN43" s="122" t="str">
        <f aca="false">IF(T43="","",T43)</f>
        <v>Наименование централизованной системы холодного водоснабжения</v>
      </c>
      <c r="AO43" s="122"/>
      <c r="AP43" s="122"/>
      <c r="AQ43" s="42" t="n">
        <v>23</v>
      </c>
    </row>
    <row r="44" customFormat="false" ht="24" hidden="false" customHeight="true" outlineLevel="0" collapsed="false">
      <c r="A44" s="417" t="s">
        <v>223</v>
      </c>
      <c r="B44" s="417" t="s">
        <v>224</v>
      </c>
      <c r="C44" s="417" t="s">
        <v>225</v>
      </c>
      <c r="D44" s="417" t="s">
        <v>492</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223</v>
      </c>
      <c r="B45" s="417" t="s">
        <v>224</v>
      </c>
      <c r="C45" s="417" t="s">
        <v>225</v>
      </c>
      <c r="D45" s="417" t="s">
        <v>492</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223</v>
      </c>
      <c r="B46" s="417" t="s">
        <v>224</v>
      </c>
      <c r="C46" s="417" t="s">
        <v>225</v>
      </c>
      <c r="D46" s="417" t="s">
        <v>492</v>
      </c>
      <c r="E46" s="418"/>
      <c r="F46" s="418"/>
      <c r="G46" s="418"/>
      <c r="H46" s="418"/>
      <c r="I46" s="434"/>
      <c r="J46" s="434"/>
      <c r="K46" s="434" t="str">
        <f aca="false">J45&amp;".1"</f>
        <v>...1.1.1</v>
      </c>
      <c r="L46" s="419"/>
      <c r="P46" s="125"/>
      <c r="Q46" s="125"/>
      <c r="R46" s="438" t="n">
        <v>1</v>
      </c>
      <c r="S46" s="422" t="str">
        <f aca="false">$K46</f>
        <v>...1.1.1</v>
      </c>
      <c r="T46" s="582"/>
      <c r="U46" s="424"/>
      <c r="V46" s="464"/>
      <c r="W46" s="464"/>
      <c r="X46" s="465"/>
      <c r="Y46" s="466"/>
      <c r="Z46" s="467" t="s">
        <v>64</v>
      </c>
      <c r="AA46" s="466"/>
      <c r="AB46" s="467" t="s">
        <v>64</v>
      </c>
      <c r="AC46" s="441"/>
      <c r="AD46" s="441"/>
      <c r="AE46" s="443"/>
      <c r="AF46" s="444"/>
      <c r="AG46" s="206" t="s">
        <v>64</v>
      </c>
      <c r="AH46" s="444"/>
      <c r="AI46" s="206" t="s">
        <v>19</v>
      </c>
      <c r="AJ46" s="583"/>
      <c r="AK46"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223</v>
      </c>
      <c r="B47" s="417" t="s">
        <v>224</v>
      </c>
      <c r="C47" s="417" t="s">
        <v>225</v>
      </c>
      <c r="D47" s="417" t="s">
        <v>492</v>
      </c>
      <c r="E47" s="418"/>
      <c r="F47" s="418"/>
      <c r="G47" s="418"/>
      <c r="H47" s="418"/>
      <c r="I47" s="434"/>
      <c r="J47" s="434"/>
      <c r="K47" s="434"/>
      <c r="L47" s="419"/>
      <c r="P47" s="125"/>
      <c r="Q47" s="125"/>
      <c r="R47" s="438"/>
      <c r="S47" s="397"/>
      <c r="T47" s="424"/>
      <c r="U47" s="424"/>
      <c r="V47" s="464"/>
      <c r="W47" s="464"/>
      <c r="X47" s="446" t="str">
        <f aca="false">Y46&amp;"-"&amp;AA46</f>
        <v>-</v>
      </c>
      <c r="Y47" s="466"/>
      <c r="Z47" s="466"/>
      <c r="AA47" s="466"/>
      <c r="AB47" s="466"/>
      <c r="AC47" s="442"/>
      <c r="AD47" s="442"/>
      <c r="AE47" s="446" t="str">
        <f aca="false">AF46&amp;"-"&amp;AH46</f>
        <v>-</v>
      </c>
      <c r="AF47" s="444"/>
      <c r="AG47" s="206"/>
      <c r="AH47" s="444"/>
      <c r="AI47" s="206"/>
      <c r="AJ47" s="585"/>
      <c r="AK47" s="584"/>
      <c r="AM47" s="122"/>
      <c r="AN47" s="122" t="str">
        <f aca="false">IF(T47="","",T47)</f>
        <v/>
      </c>
      <c r="AO47" s="122"/>
      <c r="AP47" s="122"/>
      <c r="AQ47" s="42" t="n">
        <v>0</v>
      </c>
    </row>
    <row r="48" customFormat="false" ht="21" hidden="false" customHeight="true" outlineLevel="0" collapsed="false">
      <c r="A48" s="417" t="s">
        <v>223</v>
      </c>
      <c r="B48" s="417" t="s">
        <v>224</v>
      </c>
      <c r="C48" s="417" t="s">
        <v>225</v>
      </c>
      <c r="D48" s="417" t="s">
        <v>492</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223</v>
      </c>
      <c r="B49" s="417" t="s">
        <v>224</v>
      </c>
      <c r="C49" s="417" t="s">
        <v>225</v>
      </c>
      <c r="D49" s="417" t="s">
        <v>492</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223</v>
      </c>
      <c r="B50" s="417" t="s">
        <v>224</v>
      </c>
      <c r="C50" s="417" t="s">
        <v>225</v>
      </c>
      <c r="D50" s="417" t="s">
        <v>492</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223</v>
      </c>
      <c r="B51" s="126" t="s">
        <v>224</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223</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478</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479</v>
      </c>
      <c r="AM4" s="122"/>
      <c r="AN4" s="122" t="str">
        <f aca="false">IF(T4="","",T4)</f>
        <v>Наименование централизованной системы холодного водоснабжения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584"/>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35.25"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489</v>
      </c>
      <c r="W39" s="220" t="s">
        <v>490</v>
      </c>
      <c r="X39" s="220" t="s">
        <v>491</v>
      </c>
      <c r="Y39" s="220" t="s">
        <v>443</v>
      </c>
      <c r="Z39" s="220" t="s">
        <v>444</v>
      </c>
      <c r="AA39" s="220"/>
      <c r="AB39" s="395"/>
      <c r="AC39" s="589" t="s">
        <v>489</v>
      </c>
      <c r="AD39" s="220" t="s">
        <v>490</v>
      </c>
      <c r="AE39" s="220" t="s">
        <v>491</v>
      </c>
      <c r="AF39" s="220" t="s">
        <v>443</v>
      </c>
      <c r="AG39" s="220" t="s">
        <v>444</v>
      </c>
      <c r="AH39" s="220"/>
      <c r="AI39" s="395"/>
      <c r="AJ39" s="482"/>
      <c r="AK39" s="138"/>
      <c r="AQ39" s="42" t="n">
        <v>34</v>
      </c>
    </row>
    <row r="40" s="124" customFormat="true" ht="14.35" hidden="false" customHeight="fals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228</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228</v>
      </c>
      <c r="B42" s="417" t="s">
        <v>229</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228</v>
      </c>
      <c r="B43" s="417" t="s">
        <v>229</v>
      </c>
      <c r="C43" s="417" t="s">
        <v>230</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478</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479</v>
      </c>
      <c r="AM43" s="122"/>
      <c r="AN43" s="122" t="str">
        <f aca="false">IF(T43="","",T43)</f>
        <v>Наименование централизованной системы холодного водоснабжения</v>
      </c>
      <c r="AO43" s="122"/>
      <c r="AP43" s="122"/>
      <c r="AQ43" s="42" t="n">
        <v>23</v>
      </c>
    </row>
    <row r="44" customFormat="false" ht="24" hidden="false" customHeight="true" outlineLevel="0" collapsed="false">
      <c r="A44" s="417" t="s">
        <v>228</v>
      </c>
      <c r="B44" s="417" t="s">
        <v>229</v>
      </c>
      <c r="C44" s="417" t="s">
        <v>230</v>
      </c>
      <c r="D44" s="417" t="s">
        <v>493</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228</v>
      </c>
      <c r="B45" s="417" t="s">
        <v>229</v>
      </c>
      <c r="C45" s="417" t="s">
        <v>230</v>
      </c>
      <c r="D45" s="417" t="s">
        <v>493</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228</v>
      </c>
      <c r="B46" s="417" t="s">
        <v>229</v>
      </c>
      <c r="C46" s="417" t="s">
        <v>230</v>
      </c>
      <c r="D46" s="417" t="s">
        <v>493</v>
      </c>
      <c r="E46" s="418"/>
      <c r="F46" s="418"/>
      <c r="G46" s="418"/>
      <c r="H46" s="418"/>
      <c r="I46" s="434"/>
      <c r="J46" s="434"/>
      <c r="K46" s="434" t="str">
        <f aca="false">J45&amp;".1"</f>
        <v>...1.1.1</v>
      </c>
      <c r="L46" s="419"/>
      <c r="P46" s="125"/>
      <c r="Q46" s="125"/>
      <c r="R46" s="438" t="n">
        <v>1</v>
      </c>
      <c r="S46" s="422" t="str">
        <f aca="false">$K46</f>
        <v>...1.1.1</v>
      </c>
      <c r="T46" s="582"/>
      <c r="U46" s="424"/>
      <c r="V46" s="441"/>
      <c r="W46" s="441"/>
      <c r="X46" s="443"/>
      <c r="Y46" s="444"/>
      <c r="Z46" s="206" t="s">
        <v>64</v>
      </c>
      <c r="AA46" s="444"/>
      <c r="AB46" s="206" t="s">
        <v>64</v>
      </c>
      <c r="AC46" s="441"/>
      <c r="AD46" s="441"/>
      <c r="AE46" s="443"/>
      <c r="AF46" s="444"/>
      <c r="AG46" s="206" t="s">
        <v>64</v>
      </c>
      <c r="AH46" s="444"/>
      <c r="AI46" s="206" t="s">
        <v>64</v>
      </c>
      <c r="AJ46" s="583"/>
      <c r="AK46"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228</v>
      </c>
      <c r="B47" s="417" t="s">
        <v>229</v>
      </c>
      <c r="C47" s="417" t="s">
        <v>230</v>
      </c>
      <c r="D47" s="417" t="s">
        <v>493</v>
      </c>
      <c r="E47" s="418"/>
      <c r="F47" s="418"/>
      <c r="G47" s="418"/>
      <c r="H47" s="418"/>
      <c r="I47" s="434"/>
      <c r="J47" s="434"/>
      <c r="K47" s="434"/>
      <c r="L47" s="419"/>
      <c r="P47" s="125"/>
      <c r="Q47" s="125"/>
      <c r="R47" s="438"/>
      <c r="S47" s="397"/>
      <c r="T47" s="424"/>
      <c r="U47" s="424"/>
      <c r="V47" s="442"/>
      <c r="W47" s="442"/>
      <c r="X47" s="446" t="str">
        <f aca="false">Y46&amp;"-"&amp;AA46</f>
        <v>-</v>
      </c>
      <c r="Y47" s="444"/>
      <c r="Z47" s="206"/>
      <c r="AA47" s="444"/>
      <c r="AB47" s="206"/>
      <c r="AC47" s="442"/>
      <c r="AD47" s="442"/>
      <c r="AE47" s="446" t="str">
        <f aca="false">AF46&amp;"-"&amp;AH46</f>
        <v>-</v>
      </c>
      <c r="AF47" s="444"/>
      <c r="AG47" s="206"/>
      <c r="AH47" s="444"/>
      <c r="AI47" s="206"/>
      <c r="AJ47" s="585"/>
      <c r="AK47" s="584"/>
      <c r="AM47" s="122"/>
      <c r="AN47" s="122" t="str">
        <f aca="false">IF(T47="","",T47)</f>
        <v/>
      </c>
      <c r="AO47" s="122"/>
      <c r="AP47" s="122"/>
      <c r="AQ47" s="42" t="n">
        <v>0</v>
      </c>
    </row>
    <row r="48" customFormat="false" ht="21" hidden="false" customHeight="true" outlineLevel="0" collapsed="false">
      <c r="A48" s="417" t="s">
        <v>228</v>
      </c>
      <c r="B48" s="417" t="s">
        <v>229</v>
      </c>
      <c r="C48" s="417" t="s">
        <v>230</v>
      </c>
      <c r="D48" s="417" t="s">
        <v>493</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228</v>
      </c>
      <c r="B49" s="417" t="s">
        <v>229</v>
      </c>
      <c r="C49" s="417" t="s">
        <v>230</v>
      </c>
      <c r="D49" s="417" t="s">
        <v>493</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228</v>
      </c>
      <c r="B50" s="417" t="s">
        <v>229</v>
      </c>
      <c r="C50" s="417" t="s">
        <v>230</v>
      </c>
      <c r="D50" s="417" t="s">
        <v>493</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228</v>
      </c>
      <c r="B51" s="126" t="s">
        <v>229</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228</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478</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479</v>
      </c>
      <c r="AM4" s="122"/>
      <c r="AN4" s="122" t="str">
        <f aca="false">IF(T4="","",T4)</f>
        <v>Наименование централизованной системы холодного водоснабжения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584"/>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35.25"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489</v>
      </c>
      <c r="W39" s="220" t="s">
        <v>490</v>
      </c>
      <c r="X39" s="220" t="s">
        <v>491</v>
      </c>
      <c r="Y39" s="220" t="s">
        <v>443</v>
      </c>
      <c r="Z39" s="220" t="s">
        <v>444</v>
      </c>
      <c r="AA39" s="220"/>
      <c r="AB39" s="395"/>
      <c r="AC39" s="589" t="s">
        <v>489</v>
      </c>
      <c r="AD39" s="220" t="s">
        <v>490</v>
      </c>
      <c r="AE39" s="220" t="s">
        <v>491</v>
      </c>
      <c r="AF39" s="220" t="s">
        <v>443</v>
      </c>
      <c r="AG39" s="220" t="s">
        <v>444</v>
      </c>
      <c r="AH39" s="220"/>
      <c r="AI39" s="395"/>
      <c r="AJ39" s="482"/>
      <c r="AK39" s="138"/>
      <c r="AQ39" s="42" t="n">
        <v>34</v>
      </c>
    </row>
    <row r="40" s="124" customFormat="true" ht="14.35" hidden="false" customHeight="fals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233</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233</v>
      </c>
      <c r="B42" s="417" t="s">
        <v>234</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233</v>
      </c>
      <c r="B43" s="417" t="s">
        <v>234</v>
      </c>
      <c r="C43" s="417" t="s">
        <v>235</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478</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479</v>
      </c>
      <c r="AM43" s="122"/>
      <c r="AN43" s="122" t="str">
        <f aca="false">IF(T43="","",T43)</f>
        <v>Наименование централизованной системы холодного водоснабжения</v>
      </c>
      <c r="AO43" s="122"/>
      <c r="AP43" s="122"/>
      <c r="AQ43" s="42" t="n">
        <v>23</v>
      </c>
    </row>
    <row r="44" customFormat="false" ht="24" hidden="false" customHeight="true" outlineLevel="0" collapsed="false">
      <c r="A44" s="417" t="s">
        <v>233</v>
      </c>
      <c r="B44" s="417" t="s">
        <v>234</v>
      </c>
      <c r="C44" s="417" t="s">
        <v>235</v>
      </c>
      <c r="D44" s="417" t="s">
        <v>494</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233</v>
      </c>
      <c r="B45" s="417" t="s">
        <v>234</v>
      </c>
      <c r="C45" s="417" t="s">
        <v>235</v>
      </c>
      <c r="D45" s="417" t="s">
        <v>494</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233</v>
      </c>
      <c r="B46" s="417" t="s">
        <v>234</v>
      </c>
      <c r="C46" s="417" t="s">
        <v>235</v>
      </c>
      <c r="D46" s="417" t="s">
        <v>494</v>
      </c>
      <c r="E46" s="418"/>
      <c r="F46" s="418"/>
      <c r="G46" s="418"/>
      <c r="H46" s="418"/>
      <c r="I46" s="434"/>
      <c r="J46" s="434"/>
      <c r="K46" s="434" t="str">
        <f aca="false">J45&amp;".1"</f>
        <v>...1.1.1</v>
      </c>
      <c r="L46" s="419"/>
      <c r="P46" s="125"/>
      <c r="Q46" s="125"/>
      <c r="R46" s="438" t="n">
        <v>1</v>
      </c>
      <c r="S46" s="422" t="str">
        <f aca="false">$K46</f>
        <v>...1.1.1</v>
      </c>
      <c r="T46" s="582"/>
      <c r="U46" s="424"/>
      <c r="V46" s="441"/>
      <c r="W46" s="441"/>
      <c r="X46" s="443"/>
      <c r="Y46" s="444"/>
      <c r="Z46" s="206" t="s">
        <v>64</v>
      </c>
      <c r="AA46" s="444"/>
      <c r="AB46" s="206" t="s">
        <v>64</v>
      </c>
      <c r="AC46" s="441"/>
      <c r="AD46" s="441"/>
      <c r="AE46" s="443"/>
      <c r="AF46" s="444"/>
      <c r="AG46" s="206" t="s">
        <v>64</v>
      </c>
      <c r="AH46" s="444"/>
      <c r="AI46" s="206" t="s">
        <v>64</v>
      </c>
      <c r="AJ46" s="583"/>
      <c r="AK46"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233</v>
      </c>
      <c r="B47" s="417" t="s">
        <v>234</v>
      </c>
      <c r="C47" s="417" t="s">
        <v>235</v>
      </c>
      <c r="D47" s="417" t="s">
        <v>494</v>
      </c>
      <c r="E47" s="418"/>
      <c r="F47" s="418"/>
      <c r="G47" s="418"/>
      <c r="H47" s="418"/>
      <c r="I47" s="434"/>
      <c r="J47" s="434"/>
      <c r="K47" s="434"/>
      <c r="L47" s="419"/>
      <c r="P47" s="125"/>
      <c r="Q47" s="125"/>
      <c r="R47" s="438"/>
      <c r="S47" s="397"/>
      <c r="T47" s="424"/>
      <c r="U47" s="424"/>
      <c r="V47" s="442"/>
      <c r="W47" s="442"/>
      <c r="X47" s="446" t="str">
        <f aca="false">Y46&amp;"-"&amp;AA46</f>
        <v>-</v>
      </c>
      <c r="Y47" s="444"/>
      <c r="Z47" s="206"/>
      <c r="AA47" s="444"/>
      <c r="AB47" s="206"/>
      <c r="AC47" s="442"/>
      <c r="AD47" s="442"/>
      <c r="AE47" s="446" t="str">
        <f aca="false">AF46&amp;"-"&amp;AH46</f>
        <v>-</v>
      </c>
      <c r="AF47" s="444"/>
      <c r="AG47" s="206"/>
      <c r="AH47" s="444"/>
      <c r="AI47" s="206"/>
      <c r="AJ47" s="585"/>
      <c r="AK47" s="584"/>
      <c r="AM47" s="122"/>
      <c r="AN47" s="122" t="str">
        <f aca="false">IF(T47="","",T47)</f>
        <v/>
      </c>
      <c r="AO47" s="122"/>
      <c r="AP47" s="122"/>
      <c r="AQ47" s="42" t="n">
        <v>0</v>
      </c>
    </row>
    <row r="48" customFormat="false" ht="21" hidden="false" customHeight="true" outlineLevel="0" collapsed="false">
      <c r="A48" s="417" t="s">
        <v>233</v>
      </c>
      <c r="B48" s="417" t="s">
        <v>234</v>
      </c>
      <c r="C48" s="417" t="s">
        <v>235</v>
      </c>
      <c r="D48" s="417" t="s">
        <v>494</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233</v>
      </c>
      <c r="B49" s="417" t="s">
        <v>234</v>
      </c>
      <c r="C49" s="417" t="s">
        <v>235</v>
      </c>
      <c r="D49" s="417" t="s">
        <v>494</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233</v>
      </c>
      <c r="B50" s="417" t="s">
        <v>234</v>
      </c>
      <c r="C50" s="417" t="s">
        <v>235</v>
      </c>
      <c r="D50" s="417" t="s">
        <v>494</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233</v>
      </c>
      <c r="B51" s="126" t="s">
        <v>234</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233</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478</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479</v>
      </c>
      <c r="AM4" s="122"/>
      <c r="AN4" s="122" t="str">
        <f aca="false">IF(T4="","",T4)</f>
        <v>Наименование централизованной системы холодного водоснабжения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584"/>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35.25"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489</v>
      </c>
      <c r="W39" s="220" t="s">
        <v>490</v>
      </c>
      <c r="X39" s="220" t="s">
        <v>491</v>
      </c>
      <c r="Y39" s="220" t="s">
        <v>443</v>
      </c>
      <c r="Z39" s="220" t="s">
        <v>444</v>
      </c>
      <c r="AA39" s="220"/>
      <c r="AB39" s="395"/>
      <c r="AC39" s="589" t="s">
        <v>489</v>
      </c>
      <c r="AD39" s="220" t="s">
        <v>490</v>
      </c>
      <c r="AE39" s="220" t="s">
        <v>491</v>
      </c>
      <c r="AF39" s="220" t="s">
        <v>443</v>
      </c>
      <c r="AG39" s="220" t="s">
        <v>444</v>
      </c>
      <c r="AH39" s="220"/>
      <c r="AI39" s="395"/>
      <c r="AJ39" s="482"/>
      <c r="AK39" s="138"/>
      <c r="AQ39" s="42" t="n">
        <v>34</v>
      </c>
    </row>
    <row r="40" s="124" customFormat="true" ht="14.35" hidden="false" customHeight="fals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238</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238</v>
      </c>
      <c r="B42" s="417" t="s">
        <v>239</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238</v>
      </c>
      <c r="B43" s="417" t="s">
        <v>239</v>
      </c>
      <c r="C43" s="417" t="s">
        <v>240</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478</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479</v>
      </c>
      <c r="AM43" s="122"/>
      <c r="AN43" s="122" t="str">
        <f aca="false">IF(T43="","",T43)</f>
        <v>Наименование централизованной системы холодного водоснабжения</v>
      </c>
      <c r="AO43" s="122"/>
      <c r="AP43" s="122"/>
      <c r="AQ43" s="42" t="n">
        <v>23</v>
      </c>
    </row>
    <row r="44" customFormat="false" ht="24" hidden="false" customHeight="true" outlineLevel="0" collapsed="false">
      <c r="A44" s="417" t="s">
        <v>238</v>
      </c>
      <c r="B44" s="417" t="s">
        <v>239</v>
      </c>
      <c r="C44" s="417" t="s">
        <v>240</v>
      </c>
      <c r="D44" s="417" t="s">
        <v>495</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238</v>
      </c>
      <c r="B45" s="417" t="s">
        <v>239</v>
      </c>
      <c r="C45" s="417" t="s">
        <v>240</v>
      </c>
      <c r="D45" s="417" t="s">
        <v>495</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238</v>
      </c>
      <c r="B46" s="417" t="s">
        <v>239</v>
      </c>
      <c r="C46" s="417" t="s">
        <v>240</v>
      </c>
      <c r="D46" s="417" t="s">
        <v>495</v>
      </c>
      <c r="E46" s="418"/>
      <c r="F46" s="418"/>
      <c r="G46" s="418"/>
      <c r="H46" s="418"/>
      <c r="I46" s="434"/>
      <c r="J46" s="434"/>
      <c r="K46" s="434" t="str">
        <f aca="false">J45&amp;".1"</f>
        <v>...1.1.1</v>
      </c>
      <c r="L46" s="419"/>
      <c r="P46" s="125"/>
      <c r="Q46" s="125"/>
      <c r="R46" s="438" t="n">
        <v>1</v>
      </c>
      <c r="S46" s="422" t="str">
        <f aca="false">$K46</f>
        <v>...1.1.1</v>
      </c>
      <c r="T46" s="582"/>
      <c r="U46" s="424"/>
      <c r="V46" s="441"/>
      <c r="W46" s="441"/>
      <c r="X46" s="443"/>
      <c r="Y46" s="444"/>
      <c r="Z46" s="206" t="s">
        <v>64</v>
      </c>
      <c r="AA46" s="444"/>
      <c r="AB46" s="206" t="s">
        <v>64</v>
      </c>
      <c r="AC46" s="441"/>
      <c r="AD46" s="441"/>
      <c r="AE46" s="443"/>
      <c r="AF46" s="444"/>
      <c r="AG46" s="206" t="s">
        <v>64</v>
      </c>
      <c r="AH46" s="444"/>
      <c r="AI46" s="206" t="s">
        <v>64</v>
      </c>
      <c r="AJ46" s="583"/>
      <c r="AK46" s="584"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238</v>
      </c>
      <c r="B47" s="417" t="s">
        <v>239</v>
      </c>
      <c r="C47" s="417" t="s">
        <v>240</v>
      </c>
      <c r="D47" s="417" t="s">
        <v>495</v>
      </c>
      <c r="E47" s="418"/>
      <c r="F47" s="418"/>
      <c r="G47" s="418"/>
      <c r="H47" s="418"/>
      <c r="I47" s="434"/>
      <c r="J47" s="434"/>
      <c r="K47" s="434"/>
      <c r="L47" s="419"/>
      <c r="P47" s="125"/>
      <c r="Q47" s="125"/>
      <c r="R47" s="438"/>
      <c r="S47" s="397"/>
      <c r="T47" s="424"/>
      <c r="U47" s="424"/>
      <c r="V47" s="442"/>
      <c r="W47" s="442"/>
      <c r="X47" s="446" t="str">
        <f aca="false">Y46&amp;"-"&amp;AA46</f>
        <v>-</v>
      </c>
      <c r="Y47" s="444"/>
      <c r="Z47" s="206"/>
      <c r="AA47" s="444"/>
      <c r="AB47" s="206"/>
      <c r="AC47" s="442"/>
      <c r="AD47" s="442"/>
      <c r="AE47" s="446" t="str">
        <f aca="false">AF46&amp;"-"&amp;AH46</f>
        <v>-</v>
      </c>
      <c r="AF47" s="444"/>
      <c r="AG47" s="206"/>
      <c r="AH47" s="444"/>
      <c r="AI47" s="206"/>
      <c r="AJ47" s="585"/>
      <c r="AK47" s="584"/>
      <c r="AM47" s="122"/>
      <c r="AN47" s="122" t="str">
        <f aca="false">IF(T47="","",T47)</f>
        <v/>
      </c>
      <c r="AO47" s="122"/>
      <c r="AP47" s="122"/>
      <c r="AQ47" s="42" t="n">
        <v>0</v>
      </c>
    </row>
    <row r="48" customFormat="false" ht="21" hidden="false" customHeight="true" outlineLevel="0" collapsed="false">
      <c r="A48" s="417" t="s">
        <v>238</v>
      </c>
      <c r="B48" s="417" t="s">
        <v>239</v>
      </c>
      <c r="C48" s="417" t="s">
        <v>240</v>
      </c>
      <c r="D48" s="417" t="s">
        <v>495</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238</v>
      </c>
      <c r="B49" s="417" t="s">
        <v>239</v>
      </c>
      <c r="C49" s="417" t="s">
        <v>240</v>
      </c>
      <c r="D49" s="417" t="s">
        <v>495</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238</v>
      </c>
      <c r="B50" s="417" t="s">
        <v>239</v>
      </c>
      <c r="C50" s="417" t="s">
        <v>240</v>
      </c>
      <c r="D50" s="417" t="s">
        <v>495</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238</v>
      </c>
      <c r="B51" s="126" t="s">
        <v>239</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238</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3" min="1" style="42" width="10.15"/>
    <col collapsed="false" customWidth="true" hidden="true" outlineLevel="0" max="4" min="4" style="42" width="11.86"/>
    <col collapsed="false" customWidth="true" hidden="true" outlineLevel="0" max="11" min="5" style="42" width="10.15"/>
    <col collapsed="false" customWidth="true" hidden="true" outlineLevel="0" max="12" min="12" style="43" width="10.15"/>
    <col collapsed="false" customWidth="true" hidden="true" outlineLevel="0" max="15" min="13" style="52" width="10.15"/>
    <col collapsed="false" customWidth="true" hidden="false" outlineLevel="0" max="16" min="16" style="53" width="3"/>
    <col collapsed="false" customWidth="true" hidden="false" outlineLevel="0" max="17" min="17" style="469" width="3"/>
    <col collapsed="false" customWidth="true" hidden="false" outlineLevel="0" max="18" min="18"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3" min="22" style="42" width="21.71"/>
    <col collapsed="false" customWidth="true" hidden="true" outlineLevel="0" max="24" min="24" style="42" width="11.71"/>
    <col collapsed="false" customWidth="true" hidden="true" outlineLevel="0" max="25" min="25" style="42" width="3.71"/>
    <col collapsed="false" customWidth="true" hidden="true" outlineLevel="0" max="26" min="26" style="42" width="11.71"/>
    <col collapsed="false" customWidth="true" hidden="true" outlineLevel="0" max="27" min="27" style="42" width="8.57"/>
    <col collapsed="false" customWidth="true" hidden="false" outlineLevel="0" max="28" min="28" style="42" width="27"/>
    <col collapsed="false" customWidth="true" hidden="false" outlineLevel="0" max="29" min="29" style="42" width="24.57"/>
    <col collapsed="false" customWidth="true" hidden="false" outlineLevel="0" max="31" min="30" style="42" width="21"/>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0.75" hidden="true" customHeight="true" outlineLevel="0" collapsed="false">
      <c r="AQ1" s="42" t="s">
        <v>14</v>
      </c>
    </row>
    <row r="2" customFormat="false" ht="21" hidden="true" customHeight="true" outlineLevel="0" collapsed="false">
      <c r="A2" s="238"/>
      <c r="B2" s="238"/>
      <c r="C2" s="238"/>
      <c r="D2" s="238"/>
      <c r="E2" s="496" t="n">
        <v>1</v>
      </c>
      <c r="F2" s="238"/>
      <c r="G2" s="238"/>
      <c r="H2" s="238"/>
      <c r="I2" s="238"/>
      <c r="J2" s="238"/>
      <c r="K2" s="238"/>
      <c r="L2" s="497"/>
      <c r="M2" s="77"/>
      <c r="N2" s="77"/>
      <c r="O2" s="77"/>
      <c r="Q2" s="56"/>
      <c r="R2" s="421"/>
      <c r="S2" s="422" t="e">
        <f aca="false">INDEX(PT_DIFFERENTIATION_NUM_NTAR,MATCH(A2,PT_DIFFERENTIATION_NTAR_ID,0))</f>
        <v>#N/A</v>
      </c>
      <c r="T2" s="423" t="s">
        <v>122</v>
      </c>
      <c r="U2" s="424"/>
      <c r="V2" s="541"/>
      <c r="W2" s="541"/>
      <c r="X2" s="541"/>
      <c r="Y2" s="541"/>
      <c r="Z2" s="541"/>
      <c r="AA2" s="541"/>
      <c r="AB2" s="590"/>
      <c r="AC2" s="591" t="e">
        <f aca="false">INDEX(PT_DIFFERENTIATION_NTAR,MATCH(A2,PT_DIFFERENTIATION_NTAR_ID,0))</f>
        <v>#N/A</v>
      </c>
      <c r="AD2" s="591"/>
      <c r="AE2" s="591"/>
      <c r="AF2" s="591"/>
      <c r="AG2" s="591"/>
      <c r="AH2" s="591"/>
      <c r="AI2" s="591"/>
      <c r="AJ2" s="591"/>
      <c r="AK2" s="427" t="s">
        <v>393</v>
      </c>
      <c r="AM2" s="122"/>
      <c r="AN2" s="122" t="str">
        <f aca="false">IF(T2="","",T2)</f>
        <v>Наименование тарифа</v>
      </c>
      <c r="AO2" s="122"/>
      <c r="AP2" s="122"/>
      <c r="AQ2" s="42" t="n">
        <v>0</v>
      </c>
    </row>
    <row r="3" customFormat="false" ht="21" hidden="true" customHeight="true" outlineLevel="0" collapsed="false">
      <c r="A3" s="238"/>
      <c r="B3" s="238"/>
      <c r="C3" s="238"/>
      <c r="D3" s="238"/>
      <c r="E3" s="496"/>
      <c r="F3" s="496" t="n">
        <v>1</v>
      </c>
      <c r="G3" s="238"/>
      <c r="H3" s="238"/>
      <c r="I3" s="238"/>
      <c r="J3" s="238"/>
      <c r="K3" s="238"/>
      <c r="L3" s="497"/>
      <c r="M3" s="77"/>
      <c r="N3" s="77"/>
      <c r="O3" s="77"/>
      <c r="P3" s="107"/>
      <c r="Q3" s="542"/>
      <c r="R3" s="429"/>
      <c r="S3" s="422" t="e">
        <f aca="false">INDEX(PT_DIFFERENTIATION_NUM_TER,MATCH(B3,PT_DIFFERENTIATION_TER_ID,0))</f>
        <v>#N/A</v>
      </c>
      <c r="T3" s="430" t="s">
        <v>394</v>
      </c>
      <c r="U3" s="424"/>
      <c r="V3" s="541"/>
      <c r="W3" s="541"/>
      <c r="X3" s="541"/>
      <c r="Y3" s="541"/>
      <c r="Z3" s="541"/>
      <c r="AA3" s="541"/>
      <c r="AB3" s="590"/>
      <c r="AC3" s="591" t="e">
        <f aca="false">INDEX(PT_DIFFERENTIATION_TER,MATCH(B3,PT_DIFFERENTIATION_TER_ID,0))</f>
        <v>#N/A</v>
      </c>
      <c r="AD3" s="591"/>
      <c r="AE3" s="591"/>
      <c r="AF3" s="591"/>
      <c r="AG3" s="591"/>
      <c r="AH3" s="591"/>
      <c r="AI3" s="591"/>
      <c r="AJ3" s="591"/>
      <c r="AK3" s="427" t="s">
        <v>395</v>
      </c>
      <c r="AM3" s="122"/>
      <c r="AN3" s="122" t="str">
        <f aca="false">IF(T3="","",T3)</f>
        <v>Территория действия тарифа</v>
      </c>
      <c r="AO3" s="122"/>
      <c r="AP3" s="122"/>
      <c r="AQ3" s="42" t="n">
        <v>0</v>
      </c>
    </row>
    <row r="4" customFormat="false" ht="22.5" hidden="true" customHeight="true" outlineLevel="0" collapsed="false">
      <c r="A4" s="238"/>
      <c r="B4" s="238"/>
      <c r="C4" s="238"/>
      <c r="D4" s="238"/>
      <c r="E4" s="496"/>
      <c r="F4" s="496"/>
      <c r="G4" s="496" t="n">
        <v>1</v>
      </c>
      <c r="H4" s="238"/>
      <c r="I4" s="238"/>
      <c r="J4" s="238"/>
      <c r="K4" s="238"/>
      <c r="L4" s="497"/>
      <c r="M4" s="77"/>
      <c r="N4" s="77"/>
      <c r="O4" s="77"/>
      <c r="P4" s="131"/>
      <c r="Q4" s="542"/>
      <c r="R4" s="429"/>
      <c r="S4" s="422" t="e">
        <f aca="false">INDEX(PT_DIFFERENTIATION_NUM_CS,MATCH(C4,PT_DIFFERENTIATION_CS_ID,0))</f>
        <v>#N/A</v>
      </c>
      <c r="T4" s="432" t="s">
        <v>396</v>
      </c>
      <c r="U4" s="424"/>
      <c r="V4" s="541"/>
      <c r="W4" s="541"/>
      <c r="X4" s="541"/>
      <c r="Y4" s="541"/>
      <c r="Z4" s="541"/>
      <c r="AA4" s="541"/>
      <c r="AB4" s="590"/>
      <c r="AC4" s="591" t="e">
        <f aca="false">INDEX(PT_DIFFERENTIATION_CS,MATCH(C4,PT_DIFFERENTIATION_CS_ID,0))</f>
        <v>#N/A</v>
      </c>
      <c r="AD4" s="591"/>
      <c r="AE4" s="591"/>
      <c r="AF4" s="591"/>
      <c r="AG4" s="591"/>
      <c r="AH4" s="591"/>
      <c r="AI4" s="591"/>
      <c r="AJ4" s="591"/>
      <c r="AK4" s="427" t="s">
        <v>397</v>
      </c>
      <c r="AM4" s="122"/>
      <c r="AN4" s="122" t="str">
        <f aca="false">IF(T4="","",T4)</f>
        <v>Наименование системы теплоснабжения </v>
      </c>
      <c r="AO4" s="122"/>
      <c r="AP4" s="122"/>
      <c r="AQ4" s="42" t="n">
        <v>0</v>
      </c>
    </row>
    <row r="5" customFormat="false" ht="21" hidden="true" customHeight="true" outlineLevel="0" collapsed="false">
      <c r="A5" s="238"/>
      <c r="B5" s="238"/>
      <c r="C5" s="238"/>
      <c r="D5" s="238"/>
      <c r="E5" s="496"/>
      <c r="F5" s="496"/>
      <c r="G5" s="496"/>
      <c r="H5" s="496" t="n">
        <v>1</v>
      </c>
      <c r="I5" s="238"/>
      <c r="J5" s="238"/>
      <c r="K5" s="238"/>
      <c r="L5" s="497"/>
      <c r="M5" s="77"/>
      <c r="N5" s="77"/>
      <c r="O5" s="77"/>
      <c r="P5" s="131"/>
      <c r="Q5" s="542"/>
      <c r="R5" s="429"/>
      <c r="S5" s="422" t="e">
        <f aca="false">INDEX(PT_DIFFERENTIATION_NUM_IST_TE,MATCH(D5,PT_DIFFERENTIATION_IST_TE_ID,0))</f>
        <v>#N/A</v>
      </c>
      <c r="T5" s="433" t="s">
        <v>398</v>
      </c>
      <c r="U5" s="424"/>
      <c r="V5" s="541"/>
      <c r="W5" s="541"/>
      <c r="X5" s="541"/>
      <c r="Y5" s="541"/>
      <c r="Z5" s="541"/>
      <c r="AA5" s="541"/>
      <c r="AB5" s="590"/>
      <c r="AC5" s="591" t="e">
        <f aca="false">INDEX(PT_DIFFERENTIATION_IST_TE,MATCH(D5,PT_DIFFERENTIATION_IST_TE_ID,0))</f>
        <v>#N/A</v>
      </c>
      <c r="AD5" s="591"/>
      <c r="AE5" s="591"/>
      <c r="AF5" s="591"/>
      <c r="AG5" s="591"/>
      <c r="AH5" s="591"/>
      <c r="AI5" s="591"/>
      <c r="AJ5" s="591"/>
      <c r="AK5" s="427" t="s">
        <v>399</v>
      </c>
      <c r="AM5" s="122"/>
      <c r="AN5" s="122" t="str">
        <f aca="false">IF(T5="","",T5)</f>
        <v>Источник тепловой энергии  </v>
      </c>
      <c r="AO5" s="122"/>
      <c r="AP5" s="122"/>
      <c r="AQ5" s="42" t="n">
        <v>0</v>
      </c>
    </row>
    <row r="6" s="49" customFormat="true" ht="0.75" hidden="true" customHeight="true" outlineLevel="0" collapsed="false">
      <c r="A6" s="498"/>
      <c r="B6" s="498"/>
      <c r="C6" s="498"/>
      <c r="D6" s="498"/>
      <c r="E6" s="496"/>
      <c r="F6" s="496"/>
      <c r="G6" s="496"/>
      <c r="H6" s="496"/>
      <c r="I6" s="138" t="e">
        <f aca="false">S5&amp;".1"</f>
        <v>#N/A</v>
      </c>
      <c r="J6" s="498"/>
      <c r="K6" s="498"/>
      <c r="L6" s="499" t="s">
        <v>400</v>
      </c>
      <c r="M6" s="486"/>
      <c r="N6" s="486"/>
      <c r="O6" s="486"/>
      <c r="P6" s="125" t="n">
        <v>1</v>
      </c>
      <c r="Q6" s="125"/>
      <c r="R6" s="435"/>
      <c r="S6" s="299"/>
      <c r="T6" s="507"/>
      <c r="U6" s="508"/>
      <c r="V6" s="543"/>
      <c r="W6" s="543"/>
      <c r="X6" s="543"/>
      <c r="Y6" s="543"/>
      <c r="Z6" s="543"/>
      <c r="AA6" s="543"/>
      <c r="AB6" s="592"/>
      <c r="AC6" s="543"/>
      <c r="AD6" s="543"/>
      <c r="AE6" s="543"/>
      <c r="AF6" s="543"/>
      <c r="AG6" s="543"/>
      <c r="AH6" s="543"/>
      <c r="AI6" s="543"/>
      <c r="AJ6" s="543"/>
      <c r="AK6" s="510"/>
      <c r="AM6" s="122"/>
      <c r="AN6" s="122" t="str">
        <f aca="false">IF(T6="","",T6)</f>
        <v/>
      </c>
      <c r="AO6" s="122"/>
      <c r="AP6" s="122"/>
      <c r="AQ6" s="49" t="n">
        <v>0</v>
      </c>
    </row>
    <row r="7" s="49" customFormat="true" ht="0.75" hidden="true" customHeight="true" outlineLevel="0" collapsed="false">
      <c r="A7" s="498"/>
      <c r="B7" s="498"/>
      <c r="C7" s="498"/>
      <c r="D7" s="498"/>
      <c r="E7" s="496"/>
      <c r="F7" s="496"/>
      <c r="G7" s="496"/>
      <c r="H7" s="496"/>
      <c r="I7" s="138"/>
      <c r="J7" s="150" t="e">
        <f aca="false">S5&amp;".1"</f>
        <v>#N/A</v>
      </c>
      <c r="K7" s="498"/>
      <c r="L7" s="499"/>
      <c r="M7" s="486"/>
      <c r="N7" s="486"/>
      <c r="O7" s="486"/>
      <c r="P7" s="125"/>
      <c r="Q7" s="125" t="n">
        <v>1</v>
      </c>
      <c r="R7" s="438"/>
      <c r="S7" s="299"/>
      <c r="T7" s="544"/>
      <c r="U7" s="508"/>
      <c r="V7" s="543"/>
      <c r="W7" s="543"/>
      <c r="X7" s="543"/>
      <c r="Y7" s="543"/>
      <c r="Z7" s="543"/>
      <c r="AA7" s="543"/>
      <c r="AB7" s="592"/>
      <c r="AC7" s="543"/>
      <c r="AD7" s="543"/>
      <c r="AE7" s="543"/>
      <c r="AF7" s="543"/>
      <c r="AG7" s="543"/>
      <c r="AH7" s="543"/>
      <c r="AI7" s="543"/>
      <c r="AJ7" s="543"/>
      <c r="AK7" s="510"/>
      <c r="AM7" s="122"/>
      <c r="AN7" s="122" t="str">
        <f aca="false">IF(T7="","",T7)</f>
        <v/>
      </c>
      <c r="AO7" s="122"/>
      <c r="AP7" s="122"/>
      <c r="AQ7" s="49" t="n">
        <v>0</v>
      </c>
    </row>
    <row r="8" customFormat="false" ht="21" hidden="true" customHeight="true" outlineLevel="0" collapsed="false">
      <c r="A8" s="238"/>
      <c r="B8" s="238"/>
      <c r="C8" s="238"/>
      <c r="D8" s="238"/>
      <c r="E8" s="496"/>
      <c r="F8" s="496"/>
      <c r="G8" s="496"/>
      <c r="H8" s="496"/>
      <c r="I8" s="138"/>
      <c r="J8" s="138"/>
      <c r="K8" s="150" t="e">
        <f aca="false">S5&amp;".1"</f>
        <v>#N/A</v>
      </c>
      <c r="L8" s="497"/>
      <c r="P8" s="125"/>
      <c r="Q8" s="125"/>
      <c r="R8" s="545" t="n">
        <v>1</v>
      </c>
      <c r="S8" s="517" t="e">
        <f aca="false">$K8</f>
        <v>#N/A</v>
      </c>
      <c r="T8" s="593"/>
      <c r="U8" s="424"/>
      <c r="V8" s="441"/>
      <c r="W8" s="443"/>
      <c r="X8" s="444"/>
      <c r="Y8" s="206" t="s">
        <v>64</v>
      </c>
      <c r="Z8" s="444"/>
      <c r="AA8" s="206" t="s">
        <v>64</v>
      </c>
      <c r="AB8" s="594"/>
      <c r="AC8" s="595"/>
      <c r="AD8" s="441"/>
      <c r="AE8" s="443"/>
      <c r="AF8" s="444"/>
      <c r="AG8" s="206" t="s">
        <v>64</v>
      </c>
      <c r="AH8" s="444"/>
      <c r="AI8" s="206" t="s">
        <v>64</v>
      </c>
      <c r="AJ8" s="493"/>
      <c r="AK8" s="445" t="s">
        <v>461</v>
      </c>
      <c r="AL8" s="49" t="e">
        <f aca="false">strcheckdate(#REF!)</f>
        <v>#REF!</v>
      </c>
      <c r="AM8" s="122"/>
      <c r="AN8" s="122" t="str">
        <f aca="false">IF(T8="","",T8)</f>
        <v/>
      </c>
      <c r="AO8" s="122"/>
      <c r="AP8" s="122"/>
      <c r="AQ8" s="42" t="n">
        <v>0</v>
      </c>
    </row>
    <row r="9" customFormat="false" ht="11.25" hidden="true" customHeight="true" outlineLevel="0" collapsed="false">
      <c r="A9" s="238"/>
      <c r="B9" s="238"/>
      <c r="C9" s="238"/>
      <c r="D9" s="238"/>
      <c r="E9" s="496"/>
      <c r="F9" s="496"/>
      <c r="G9" s="496"/>
      <c r="H9" s="496"/>
      <c r="I9" s="138"/>
      <c r="J9" s="150"/>
      <c r="K9" s="238"/>
      <c r="L9" s="497"/>
      <c r="P9" s="125"/>
      <c r="Q9" s="125"/>
      <c r="R9" s="435"/>
      <c r="S9" s="447"/>
      <c r="T9" s="450" t="s">
        <v>465</v>
      </c>
      <c r="U9" s="196"/>
      <c r="V9" s="196"/>
      <c r="W9" s="196"/>
      <c r="X9" s="196"/>
      <c r="Y9" s="196"/>
      <c r="Z9" s="196"/>
      <c r="AA9" s="196"/>
      <c r="AB9" s="196"/>
      <c r="AC9" s="196"/>
      <c r="AD9" s="196"/>
      <c r="AE9" s="196"/>
      <c r="AF9" s="196"/>
      <c r="AG9" s="196"/>
      <c r="AH9" s="196"/>
      <c r="AI9" s="196"/>
      <c r="AJ9" s="449"/>
      <c r="AK9" s="445"/>
      <c r="AM9" s="122"/>
      <c r="AN9" s="122" t="str">
        <f aca="false">IF(T9="","",T9)</f>
        <v>Добавить строку</v>
      </c>
      <c r="AO9" s="122"/>
      <c r="AP9" s="122"/>
      <c r="AQ9" s="42" t="n">
        <v>0</v>
      </c>
    </row>
    <row r="10" s="49" customFormat="true" ht="0.75" hidden="true" customHeight="true" outlineLevel="0" collapsed="false">
      <c r="A10" s="498"/>
      <c r="B10" s="498"/>
      <c r="C10" s="498"/>
      <c r="D10" s="498"/>
      <c r="E10" s="496"/>
      <c r="F10" s="496"/>
      <c r="G10" s="496"/>
      <c r="H10" s="496"/>
      <c r="I10" s="138"/>
      <c r="J10" s="498"/>
      <c r="K10" s="498"/>
      <c r="L10" s="499"/>
      <c r="M10" s="486"/>
      <c r="N10" s="486"/>
      <c r="O10" s="486"/>
      <c r="P10" s="125"/>
      <c r="Q10" s="125"/>
      <c r="R10" s="435"/>
      <c r="S10" s="511"/>
      <c r="T10" s="512"/>
      <c r="U10" s="513"/>
      <c r="V10" s="513"/>
      <c r="W10" s="513"/>
      <c r="X10" s="513"/>
      <c r="Y10" s="513"/>
      <c r="Z10" s="513"/>
      <c r="AA10" s="513"/>
      <c r="AB10" s="513"/>
      <c r="AC10" s="513"/>
      <c r="AD10" s="513"/>
      <c r="AE10" s="513"/>
      <c r="AF10" s="513"/>
      <c r="AG10" s="513"/>
      <c r="AH10" s="513"/>
      <c r="AI10" s="513"/>
      <c r="AJ10" s="513"/>
      <c r="AK10" s="514"/>
      <c r="AM10" s="122"/>
      <c r="AN10" s="122" t="str">
        <f aca="false">IF(T10="","",T10)</f>
        <v/>
      </c>
      <c r="AO10" s="122"/>
      <c r="AP10" s="122"/>
      <c r="AQ10" s="49" t="n">
        <v>0</v>
      </c>
    </row>
    <row r="11" s="49" customFormat="true" ht="0.75" hidden="true" customHeight="true" outlineLevel="0" collapsed="false">
      <c r="A11" s="498"/>
      <c r="B11" s="498"/>
      <c r="C11" s="498"/>
      <c r="D11" s="498"/>
      <c r="E11" s="496"/>
      <c r="F11" s="496"/>
      <c r="G11" s="496"/>
      <c r="H11" s="496"/>
      <c r="I11" s="498"/>
      <c r="J11" s="498"/>
      <c r="K11" s="498"/>
      <c r="L11" s="499"/>
      <c r="M11" s="500"/>
      <c r="N11" s="500"/>
      <c r="O11" s="124"/>
      <c r="P11" s="160"/>
      <c r="Q11" s="455"/>
      <c r="R11" s="557"/>
      <c r="S11" s="511"/>
      <c r="T11" s="512"/>
      <c r="U11" s="513"/>
      <c r="V11" s="513"/>
      <c r="W11" s="513"/>
      <c r="X11" s="513"/>
      <c r="Y11" s="513"/>
      <c r="Z11" s="513"/>
      <c r="AA11" s="513"/>
      <c r="AB11" s="513"/>
      <c r="AC11" s="513"/>
      <c r="AD11" s="513"/>
      <c r="AE11" s="513"/>
      <c r="AF11" s="513"/>
      <c r="AG11" s="513"/>
      <c r="AH11" s="513"/>
      <c r="AI11" s="513"/>
      <c r="AJ11" s="513"/>
      <c r="AK11" s="514"/>
      <c r="AM11" s="122"/>
      <c r="AN11" s="122" t="str">
        <f aca="false">IF(T11="","",T11)</f>
        <v/>
      </c>
      <c r="AO11" s="122"/>
      <c r="AP11" s="122"/>
      <c r="AQ11" s="49" t="n">
        <v>0</v>
      </c>
    </row>
    <row r="12" s="49" customFormat="true" ht="0.75" hidden="true" customHeight="true" outlineLevel="0" collapsed="false">
      <c r="A12" s="498"/>
      <c r="B12" s="498"/>
      <c r="C12" s="498"/>
      <c r="D12" s="498"/>
      <c r="E12" s="496"/>
      <c r="F12" s="496"/>
      <c r="G12" s="496"/>
      <c r="H12" s="498"/>
      <c r="I12" s="498"/>
      <c r="J12" s="498"/>
      <c r="K12" s="498"/>
      <c r="L12" s="499"/>
      <c r="M12" s="500"/>
      <c r="N12" s="500"/>
      <c r="O12" s="124"/>
      <c r="P12" s="160"/>
      <c r="Q12" s="455"/>
      <c r="R12" s="160"/>
      <c r="S12" s="460"/>
      <c r="T12" s="463" t="s">
        <v>411</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источник для дифференциации</v>
      </c>
      <c r="AO12" s="122"/>
      <c r="AP12" s="122"/>
      <c r="AQ12" s="49" t="n">
        <v>0</v>
      </c>
    </row>
    <row r="13" s="49" customFormat="true" ht="0.75" hidden="true" customHeight="true" outlineLevel="0" collapsed="false">
      <c r="A13" s="498"/>
      <c r="B13" s="498"/>
      <c r="C13" s="498"/>
      <c r="D13" s="498"/>
      <c r="E13" s="496"/>
      <c r="F13" s="496"/>
      <c r="G13" s="498"/>
      <c r="H13" s="498"/>
      <c r="I13" s="498"/>
      <c r="J13" s="498"/>
      <c r="K13" s="498"/>
      <c r="L13" s="499"/>
      <c r="M13" s="501"/>
      <c r="N13" s="501"/>
      <c r="O13" s="124"/>
      <c r="P13" s="160"/>
      <c r="Q13" s="455"/>
      <c r="R13" s="160"/>
      <c r="S13" s="460"/>
      <c r="T13" s="463" t="s">
        <v>412</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централизованную систему для дифференциации</v>
      </c>
      <c r="AO13" s="122"/>
      <c r="AP13" s="122"/>
      <c r="AQ13" s="49" t="n">
        <v>0</v>
      </c>
    </row>
    <row r="14" s="49" customFormat="true" ht="0.75" hidden="true" customHeight="true" outlineLevel="0" collapsed="false">
      <c r="A14" s="498"/>
      <c r="B14" s="498"/>
      <c r="C14" s="498"/>
      <c r="D14" s="498"/>
      <c r="E14" s="496"/>
      <c r="F14" s="498"/>
      <c r="G14" s="498"/>
      <c r="H14" s="498"/>
      <c r="I14" s="498"/>
      <c r="J14" s="498"/>
      <c r="K14" s="498"/>
      <c r="L14" s="499"/>
      <c r="M14" s="501"/>
      <c r="N14" s="501"/>
      <c r="O14" s="124"/>
      <c r="P14" s="160"/>
      <c r="Q14" s="455"/>
      <c r="R14" s="160"/>
      <c r="S14" s="460"/>
      <c r="T14" s="463" t="s">
        <v>413</v>
      </c>
      <c r="U14" s="462"/>
      <c r="V14" s="462"/>
      <c r="W14" s="462"/>
      <c r="X14" s="462"/>
      <c r="Y14" s="462"/>
      <c r="Z14" s="462"/>
      <c r="AA14" s="462"/>
      <c r="AB14" s="462"/>
      <c r="AC14" s="462"/>
      <c r="AD14" s="462"/>
      <c r="AE14" s="462"/>
      <c r="AF14" s="462"/>
      <c r="AG14" s="462"/>
      <c r="AH14" s="462"/>
      <c r="AI14" s="462"/>
      <c r="AJ14" s="462"/>
      <c r="AK14" s="462"/>
      <c r="AM14" s="122"/>
      <c r="AN14" s="122" t="str">
        <f aca="false">IF(T14="","",T14)</f>
        <v>Добавить территорию для дифференциации</v>
      </c>
      <c r="AO14" s="122"/>
      <c r="AP14" s="122"/>
      <c r="AQ14" s="49" t="n">
        <v>0</v>
      </c>
    </row>
    <row r="15" customFormat="false" ht="14.25" hidden="true" customHeight="true" outlineLevel="0" collapsed="false">
      <c r="AQ15" s="42" t="n">
        <v>0</v>
      </c>
    </row>
    <row r="16" customFormat="false" ht="14.25" hidden="true" customHeight="true" outlineLevel="0" collapsed="false">
      <c r="AC16" s="559"/>
      <c r="AD16" s="562"/>
      <c r="AE16" s="563"/>
      <c r="AF16" s="564"/>
      <c r="AG16" s="565" t="s">
        <v>64</v>
      </c>
      <c r="AH16" s="564"/>
      <c r="AI16" s="565" t="s">
        <v>64</v>
      </c>
      <c r="AQ16" s="42" t="n">
        <v>0</v>
      </c>
    </row>
    <row r="17" customFormat="false" ht="14.25" hidden="true" customHeight="true" outlineLevel="0" collapsed="false">
      <c r="AL17" s="124"/>
      <c r="AM17" s="124"/>
      <c r="AN17" s="124"/>
      <c r="AO17" s="124"/>
      <c r="AP17" s="124"/>
      <c r="AQ17" s="42" t="n">
        <v>0</v>
      </c>
    </row>
    <row r="18" customFormat="false" ht="14.25" hidden="true" customHeight="true" outlineLevel="0" collapsed="false">
      <c r="O18" s="502" t="s">
        <v>414</v>
      </c>
      <c r="X18" s="502"/>
      <c r="Z18" s="502"/>
      <c r="AF18" s="502"/>
      <c r="AH18" s="502"/>
      <c r="AL18" s="124"/>
      <c r="AM18" s="124"/>
      <c r="AN18" s="124"/>
      <c r="AO18" s="124"/>
      <c r="AP18" s="124"/>
      <c r="AQ18" s="42" t="n">
        <v>0</v>
      </c>
    </row>
    <row r="19" customFormat="false" ht="14.25" hidden="true" customHeight="true" outlineLevel="0" collapsed="false">
      <c r="AL19" s="124"/>
      <c r="AM19" s="124"/>
      <c r="AN19" s="124"/>
      <c r="AO19" s="124"/>
      <c r="AP19" s="124"/>
      <c r="AQ19" s="42" t="n">
        <v>0</v>
      </c>
    </row>
    <row r="20" s="566" customFormat="true" ht="14.25" hidden="true" customHeight="true" outlineLevel="0" collapsed="false">
      <c r="A20" s="596"/>
      <c r="B20" s="596"/>
      <c r="C20" s="596"/>
      <c r="D20" s="596"/>
      <c r="E20" s="596"/>
      <c r="F20" s="596"/>
      <c r="G20" s="596"/>
      <c r="H20" s="596"/>
      <c r="I20" s="596"/>
      <c r="J20" s="596"/>
      <c r="K20" s="596"/>
      <c r="L20" s="596"/>
      <c r="M20" s="503"/>
      <c r="N20" s="503"/>
      <c r="O20" s="596" t="s">
        <v>415</v>
      </c>
      <c r="P20" s="567"/>
      <c r="Q20" s="568"/>
      <c r="R20" s="568"/>
      <c r="Y20" s="566" t="s">
        <v>417</v>
      </c>
      <c r="AA20" s="566" t="s">
        <v>418</v>
      </c>
      <c r="AC20" s="566" t="s">
        <v>467</v>
      </c>
      <c r="AG20" s="566" t="s">
        <v>417</v>
      </c>
      <c r="AI20" s="566" t="s">
        <v>418</v>
      </c>
      <c r="AL20" s="569"/>
      <c r="AM20" s="569"/>
      <c r="AN20" s="569"/>
      <c r="AO20" s="569"/>
      <c r="AP20" s="569"/>
      <c r="AQ20" s="566" t="n">
        <v>0</v>
      </c>
    </row>
    <row r="21" customFormat="false" ht="14.25" hidden="true" customHeight="true" outlineLevel="0" collapsed="false">
      <c r="O21" s="497"/>
      <c r="AL21" s="124"/>
      <c r="AM21" s="124"/>
      <c r="AN21" s="124"/>
      <c r="AO21" s="124"/>
      <c r="AP21" s="124"/>
      <c r="AQ21" s="42" t="n">
        <v>0</v>
      </c>
    </row>
    <row r="22" customFormat="false" ht="14.25" hidden="true" customHeight="true" outlineLevel="0" collapsed="false">
      <c r="O22" s="497"/>
      <c r="AL22" s="124"/>
      <c r="AM22" s="124"/>
      <c r="AN22" s="124"/>
      <c r="AO22" s="124"/>
      <c r="AP22" s="124"/>
      <c r="AQ22" s="42" t="n">
        <v>0</v>
      </c>
    </row>
    <row r="23" customFormat="false" ht="14.25" hidden="false" customHeight="true" outlineLevel="0" collapsed="false">
      <c r="Q23" s="570"/>
      <c r="R23" s="470"/>
      <c r="S23" s="471"/>
      <c r="T23" s="83"/>
      <c r="U23" s="83"/>
      <c r="AQ23" s="42" t="n">
        <v>14</v>
      </c>
    </row>
    <row r="24" customFormat="false" ht="39.75" hidden="false" customHeight="true" outlineLevel="0" collapsed="false">
      <c r="Q24" s="570"/>
      <c r="R24" s="470"/>
      <c r="S24" s="215"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5"/>
      <c r="U24" s="215"/>
      <c r="V24" s="215"/>
      <c r="W24" s="215"/>
      <c r="X24" s="215"/>
      <c r="Y24" s="215"/>
      <c r="Z24" s="215"/>
      <c r="AA24" s="215"/>
      <c r="AB24" s="215"/>
      <c r="AC24" s="215"/>
      <c r="AD24" s="215"/>
      <c r="AE24" s="215"/>
      <c r="AF24" s="215"/>
      <c r="AG24" s="215"/>
      <c r="AH24" s="215"/>
      <c r="AI24" s="217"/>
      <c r="AQ24" s="42" t="n">
        <v>38</v>
      </c>
    </row>
    <row r="25" customFormat="false" ht="14.25" hidden="false" customHeight="true" outlineLevel="0" collapsed="false">
      <c r="Q25" s="5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5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00"/>
      <c r="B27" s="100"/>
      <c r="C27" s="100"/>
      <c r="D27" s="100"/>
      <c r="E27" s="100"/>
      <c r="F27" s="100"/>
      <c r="G27" s="100"/>
      <c r="H27" s="100"/>
      <c r="I27" s="100"/>
      <c r="J27" s="100"/>
      <c r="K27" s="100"/>
      <c r="L27" s="497"/>
      <c r="M27" s="100"/>
      <c r="N27" s="100"/>
      <c r="O27" s="100"/>
      <c r="P27" s="144"/>
      <c r="Q27" s="144"/>
      <c r="S27" s="473" t="s">
        <v>41</v>
      </c>
      <c r="T27" s="473"/>
      <c r="U27" s="474"/>
      <c r="V27" s="475" t="str">
        <f aca="false">IF(TITLE_NAME_OR_PR_CHANGE="",IF(TITLE_NAME_OR_PR="","",TITLE_NAME_OR_PR),TITLE_NAME_OR_PR_CHANGE)</f>
        <v/>
      </c>
      <c r="W27" s="475"/>
      <c r="X27" s="475"/>
      <c r="Y27" s="475"/>
      <c r="Z27" s="475"/>
      <c r="AA27" s="42"/>
      <c r="AB27" s="42"/>
      <c r="AC27" s="475"/>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00"/>
      <c r="B28" s="100"/>
      <c r="C28" s="100"/>
      <c r="D28" s="100"/>
      <c r="E28" s="100"/>
      <c r="F28" s="100"/>
      <c r="G28" s="100"/>
      <c r="H28" s="100"/>
      <c r="I28" s="100"/>
      <c r="J28" s="100"/>
      <c r="K28" s="100"/>
      <c r="L28" s="497"/>
      <c r="M28" s="100"/>
      <c r="N28" s="100"/>
      <c r="O28" s="100"/>
      <c r="P28" s="144"/>
      <c r="Q28" s="144"/>
      <c r="S28" s="473" t="s">
        <v>420</v>
      </c>
      <c r="T28" s="473"/>
      <c r="U28" s="474"/>
      <c r="V28" s="477" t="str">
        <f aca="false">IF(TITLE_DATE_PR_CHANGE="",IF(TITLE_DATE_PR="","",TITLE_DATE_PR),TITLE_DATE_PR_CHANGE)</f>
        <v/>
      </c>
      <c r="W28" s="477"/>
      <c r="X28" s="477"/>
      <c r="Y28" s="477"/>
      <c r="Z28" s="477"/>
      <c r="AA28" s="42"/>
      <c r="AB28" s="42"/>
      <c r="AC28" s="477"/>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00"/>
      <c r="B29" s="100"/>
      <c r="C29" s="100"/>
      <c r="D29" s="100"/>
      <c r="E29" s="100"/>
      <c r="F29" s="100"/>
      <c r="G29" s="100"/>
      <c r="H29" s="100"/>
      <c r="I29" s="100"/>
      <c r="J29" s="100"/>
      <c r="K29" s="100"/>
      <c r="L29" s="497"/>
      <c r="M29" s="100"/>
      <c r="N29" s="100"/>
      <c r="O29" s="100"/>
      <c r="P29" s="144"/>
      <c r="Q29" s="144"/>
      <c r="S29" s="473" t="s">
        <v>421</v>
      </c>
      <c r="T29" s="473"/>
      <c r="U29" s="474"/>
      <c r="V29" s="475" t="str">
        <f aca="false">IF(TITLE_NUMBER_PR_CHANGE="",IF(TITLE_NUMBER_PR="","",TITLE_NUMBER_PR),TITLE_NUMBER_PR_CHANGE)</f>
        <v/>
      </c>
      <c r="W29" s="475"/>
      <c r="X29" s="475"/>
      <c r="Y29" s="475"/>
      <c r="Z29" s="475"/>
      <c r="AA29" s="42"/>
      <c r="AB29" s="42"/>
      <c r="AC29" s="475"/>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00"/>
      <c r="B30" s="100"/>
      <c r="C30" s="100"/>
      <c r="D30" s="100"/>
      <c r="E30" s="100"/>
      <c r="F30" s="100"/>
      <c r="G30" s="100"/>
      <c r="H30" s="100"/>
      <c r="I30" s="100"/>
      <c r="J30" s="100"/>
      <c r="K30" s="100"/>
      <c r="L30" s="497"/>
      <c r="M30" s="100"/>
      <c r="N30" s="100"/>
      <c r="O30" s="100"/>
      <c r="P30" s="144"/>
      <c r="Q30" s="144"/>
      <c r="S30" s="473" t="s">
        <v>42</v>
      </c>
      <c r="T30" s="473"/>
      <c r="U30" s="474"/>
      <c r="V30" s="475" t="str">
        <f aca="false">IF(TITLE_IST_PUB_CHANGE="",IF(TITLE_IST_PUB="","",TITLE_IST_PUB),TITLE_IST_PUB_CHANGE)</f>
        <v/>
      </c>
      <c r="W30" s="475"/>
      <c r="X30" s="475"/>
      <c r="Y30" s="475"/>
      <c r="Z30" s="475"/>
      <c r="AA30" s="42"/>
      <c r="AB30" s="42"/>
      <c r="AC30" s="475"/>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5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00"/>
      <c r="B32" s="100"/>
      <c r="C32" s="100"/>
      <c r="D32" s="100"/>
      <c r="E32" s="100"/>
      <c r="F32" s="100"/>
      <c r="G32" s="100"/>
      <c r="H32" s="100"/>
      <c r="I32" s="100"/>
      <c r="J32" s="100"/>
      <c r="K32" s="100"/>
      <c r="L32" s="497"/>
      <c r="M32" s="100"/>
      <c r="N32" s="100"/>
      <c r="O32" s="100"/>
      <c r="P32" s="144"/>
      <c r="Q32" s="144"/>
      <c r="S32" s="473" t="s">
        <v>420</v>
      </c>
      <c r="T32" s="473"/>
      <c r="U32" s="474"/>
      <c r="V32" s="477" t="str">
        <f aca="false">IF(TITLE_DATE_PR_CHANGE="",IF(TITLE_DATE_PR="","",TITLE_DATE_PR),TITLE_DATE_PR_CHANGE)</f>
        <v/>
      </c>
      <c r="W32" s="477"/>
      <c r="X32" s="477"/>
      <c r="Y32" s="477"/>
      <c r="Z32" s="477"/>
      <c r="AA32" s="42"/>
      <c r="AB32" s="42"/>
      <c r="AC32" s="477"/>
      <c r="AD32" s="477"/>
      <c r="AE32" s="477"/>
      <c r="AF32" s="477"/>
      <c r="AG32" s="477"/>
      <c r="AH32" s="477"/>
      <c r="AI32" s="42"/>
      <c r="AJ32" s="42"/>
      <c r="AK32" s="476"/>
      <c r="AL32" s="122"/>
      <c r="AM32" s="122"/>
      <c r="AN32" s="122"/>
      <c r="AO32" s="122"/>
      <c r="AP32" s="122"/>
      <c r="AQ32" s="177" t="n">
        <v>0</v>
      </c>
    </row>
    <row r="33" s="177" customFormat="true" ht="18" hidden="true" customHeight="true" outlineLevel="0" collapsed="false">
      <c r="A33" s="100"/>
      <c r="B33" s="100"/>
      <c r="C33" s="100"/>
      <c r="D33" s="100"/>
      <c r="E33" s="100"/>
      <c r="F33" s="100"/>
      <c r="G33" s="100"/>
      <c r="H33" s="100"/>
      <c r="I33" s="100"/>
      <c r="J33" s="100"/>
      <c r="K33" s="100"/>
      <c r="L33" s="497"/>
      <c r="M33" s="100"/>
      <c r="N33" s="100"/>
      <c r="O33" s="100"/>
      <c r="P33" s="144"/>
      <c r="Q33" s="144"/>
      <c r="S33" s="473" t="s">
        <v>421</v>
      </c>
      <c r="T33" s="473"/>
      <c r="U33" s="474"/>
      <c r="V33" s="475" t="str">
        <f aca="false">IF(TITLE_NUMBER_PR_CHANGE="",IF(TITLE_NUMBER_PR="","",TITLE_NUMBER_PR),TITLE_NUMBER_PR_CHANGE)</f>
        <v/>
      </c>
      <c r="W33" s="475"/>
      <c r="X33" s="475"/>
      <c r="Y33" s="475"/>
      <c r="Z33" s="475"/>
      <c r="AA33" s="42"/>
      <c r="AB33" s="42"/>
      <c r="AC33" s="475"/>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00"/>
      <c r="B34" s="100"/>
      <c r="C34" s="100"/>
      <c r="D34" s="100"/>
      <c r="E34" s="100"/>
      <c r="F34" s="100"/>
      <c r="G34" s="100"/>
      <c r="H34" s="100"/>
      <c r="I34" s="100"/>
      <c r="J34" s="100"/>
      <c r="K34" s="100"/>
      <c r="L34" s="497"/>
      <c r="M34" s="100"/>
      <c r="N34" s="100"/>
      <c r="O34" s="100"/>
      <c r="P34" s="144"/>
      <c r="Q34" s="144"/>
      <c r="S34" s="42"/>
      <c r="T34" s="42"/>
      <c r="U34" s="132"/>
      <c r="V34" s="42"/>
      <c r="W34" s="42"/>
      <c r="X34" s="42"/>
      <c r="Y34" s="42"/>
      <c r="Z34" s="42"/>
      <c r="AA34" s="49" t="s">
        <v>424</v>
      </c>
      <c r="AB34" s="49"/>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5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5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570"/>
      <c r="R37" s="470"/>
      <c r="S37" s="422" t="s">
        <v>86</v>
      </c>
      <c r="T37" s="395" t="s">
        <v>496</v>
      </c>
      <c r="U37" s="481"/>
      <c r="V37" s="597"/>
      <c r="W37" s="597"/>
      <c r="X37" s="597"/>
      <c r="Y37" s="597"/>
      <c r="Z37" s="597"/>
      <c r="AA37" s="395" t="s">
        <v>427</v>
      </c>
      <c r="AB37" s="294" t="s">
        <v>497</v>
      </c>
      <c r="AC37" s="294" t="s">
        <v>471</v>
      </c>
      <c r="AD37" s="598" t="s">
        <v>426</v>
      </c>
      <c r="AE37" s="598"/>
      <c r="AF37" s="598"/>
      <c r="AG37" s="598"/>
      <c r="AH37" s="598"/>
      <c r="AI37" s="395" t="s">
        <v>427</v>
      </c>
      <c r="AJ37" s="482" t="s">
        <v>429</v>
      </c>
      <c r="AK37" s="138"/>
      <c r="AQ37" s="42" t="n">
        <v>14</v>
      </c>
    </row>
    <row r="38" customFormat="false" ht="35.25" hidden="false" customHeight="true" outlineLevel="0" collapsed="false">
      <c r="Q38" s="570"/>
      <c r="R38" s="470"/>
      <c r="S38" s="422"/>
      <c r="T38" s="395"/>
      <c r="U38" s="483"/>
      <c r="V38" s="506" t="s">
        <v>474</v>
      </c>
      <c r="W38" s="506"/>
      <c r="X38" s="263" t="s">
        <v>433</v>
      </c>
      <c r="Y38" s="263"/>
      <c r="Z38" s="263"/>
      <c r="AA38" s="395"/>
      <c r="AB38" s="294"/>
      <c r="AC38" s="294"/>
      <c r="AD38" s="506" t="s">
        <v>474</v>
      </c>
      <c r="AE38" s="506"/>
      <c r="AF38" s="506" t="s">
        <v>433</v>
      </c>
      <c r="AG38" s="506"/>
      <c r="AH38" s="506"/>
      <c r="AI38" s="395"/>
      <c r="AJ38" s="482"/>
      <c r="AK38" s="138"/>
      <c r="AQ38" s="42" t="n">
        <v>34</v>
      </c>
    </row>
    <row r="39" customFormat="false" ht="14.25" hidden="false" customHeight="true" outlineLevel="0" collapsed="false">
      <c r="Q39" s="570"/>
      <c r="R39" s="470"/>
      <c r="S39" s="422"/>
      <c r="T39" s="395"/>
      <c r="U39" s="483"/>
      <c r="V39" s="574" t="str">
        <f aca="false">IF($AD$39&lt;&gt;"",$AD$39,"")</f>
        <v/>
      </c>
      <c r="W39" s="574"/>
      <c r="X39" s="263"/>
      <c r="Y39" s="263"/>
      <c r="Z39" s="263"/>
      <c r="AA39" s="395"/>
      <c r="AB39" s="294"/>
      <c r="AC39" s="294"/>
      <c r="AD39" s="599"/>
      <c r="AE39" s="599"/>
      <c r="AF39" s="506"/>
      <c r="AG39" s="506"/>
      <c r="AH39" s="506"/>
      <c r="AI39" s="395"/>
      <c r="AJ39" s="482"/>
      <c r="AK39" s="138"/>
      <c r="AQ39" s="42" t="n">
        <v>14</v>
      </c>
    </row>
    <row r="40" customFormat="false" ht="14.25" hidden="false" customHeight="true" outlineLevel="0" collapsed="false">
      <c r="A40" s="100"/>
      <c r="B40" s="100" t="s">
        <v>134</v>
      </c>
      <c r="C40" s="100" t="s">
        <v>135</v>
      </c>
      <c r="D40" s="100" t="s">
        <v>136</v>
      </c>
      <c r="E40" s="497" t="s">
        <v>434</v>
      </c>
      <c r="F40" s="497" t="s">
        <v>435</v>
      </c>
      <c r="G40" s="497" t="s">
        <v>436</v>
      </c>
      <c r="H40" s="497" t="s">
        <v>437</v>
      </c>
      <c r="I40" s="497" t="s">
        <v>438</v>
      </c>
      <c r="J40" s="497" t="s">
        <v>439</v>
      </c>
      <c r="K40" s="497" t="s">
        <v>440</v>
      </c>
      <c r="L40" s="497" t="s">
        <v>415</v>
      </c>
      <c r="Q40" s="570"/>
      <c r="R40" s="470"/>
      <c r="S40" s="422"/>
      <c r="T40" s="395"/>
      <c r="U40" s="485"/>
      <c r="V40" s="395" t="s">
        <v>475</v>
      </c>
      <c r="W40" s="395" t="s">
        <v>476</v>
      </c>
      <c r="X40" s="220" t="s">
        <v>443</v>
      </c>
      <c r="Y40" s="360" t="s">
        <v>444</v>
      </c>
      <c r="Z40" s="360"/>
      <c r="AA40" s="395"/>
      <c r="AB40" s="294"/>
      <c r="AC40" s="294"/>
      <c r="AD40" s="600" t="s">
        <v>475</v>
      </c>
      <c r="AE40" s="576" t="s">
        <v>476</v>
      </c>
      <c r="AF40" s="220" t="s">
        <v>443</v>
      </c>
      <c r="AG40" s="220" t="s">
        <v>444</v>
      </c>
      <c r="AH40" s="220"/>
      <c r="AI40" s="395"/>
      <c r="AJ40" s="482"/>
      <c r="AK40" s="138"/>
      <c r="AQ40" s="42" t="n">
        <v>14</v>
      </c>
    </row>
    <row r="41" s="124" customFormat="true" ht="11.25" hidden="true" customHeight="true" outlineLevel="0" collapsed="false">
      <c r="A41" s="100"/>
      <c r="B41" s="100"/>
      <c r="C41" s="100"/>
      <c r="D41" s="100"/>
      <c r="E41" s="100"/>
      <c r="F41" s="100"/>
      <c r="G41" s="100"/>
      <c r="H41" s="100"/>
      <c r="I41" s="100"/>
      <c r="J41" s="100"/>
      <c r="K41" s="100"/>
      <c r="L41" s="497"/>
      <c r="M41" s="52"/>
      <c r="N41" s="52"/>
      <c r="O41" s="52"/>
      <c r="P41" s="515"/>
      <c r="Q41" s="488"/>
      <c r="R41" s="488" t="n">
        <v>1</v>
      </c>
      <c r="S41" s="489" t="s">
        <v>107</v>
      </c>
      <c r="T41" s="490" t="s">
        <v>108</v>
      </c>
      <c r="U41" s="491" t="str">
        <f aca="true">OFFSET(U41,0,-1)</f>
        <v>2</v>
      </c>
      <c r="V41" s="492" t="n">
        <f aca="true">OFFSET(V41,0,-1)+1</f>
        <v>3</v>
      </c>
      <c r="W41" s="492" t="n">
        <f aca="true">OFFSET(W41,0,-1)+1</f>
        <v>4</v>
      </c>
      <c r="X41" s="492" t="n">
        <f aca="true">OFFSET(X41,0,-1)+1</f>
        <v>5</v>
      </c>
      <c r="Y41" s="492" t="n">
        <f aca="true">OFFSET(Y41,0,-1)+1</f>
        <v>6</v>
      </c>
      <c r="Z41" s="492"/>
      <c r="AA41" s="367" t="n">
        <f aca="true">OFFSET(AA41,0,-2)+1</f>
        <v>7</v>
      </c>
      <c r="AB41" s="367"/>
      <c r="AC41" s="367"/>
      <c r="AD41" s="492" t="n">
        <f aca="true">OFFSET(AD41,0,-1)+1</f>
        <v>1</v>
      </c>
      <c r="AE41" s="492" t="n">
        <f aca="true">OFFSET(AE41,0,-1)+1</f>
        <v>2</v>
      </c>
      <c r="AF41" s="492" t="n">
        <f aca="true">OFFSET(AF41,0,-1)+1</f>
        <v>3</v>
      </c>
      <c r="AG41" s="492" t="n">
        <f aca="true">OFFSET(AG41,0,-1)+1</f>
        <v>4</v>
      </c>
      <c r="AH41" s="492"/>
      <c r="AI41" s="492" t="n">
        <f aca="true">OFFSET(AI41,0,-2)+1</f>
        <v>5</v>
      </c>
      <c r="AJ41" s="491" t="n">
        <f aca="true">OFFSET(AJ41,0,-1)</f>
        <v>5</v>
      </c>
      <c r="AK41" s="492" t="n">
        <f aca="true">OFFSET(AK41,0,-1)+1</f>
        <v>6</v>
      </c>
      <c r="AL41" s="49"/>
      <c r="AM41" s="49"/>
      <c r="AN41" s="49"/>
      <c r="AO41" s="49"/>
      <c r="AP41" s="49"/>
      <c r="AQ41" s="124" t="n">
        <v>0</v>
      </c>
    </row>
    <row r="42" customFormat="false" ht="107.25" hidden="false" customHeight="true" outlineLevel="0" collapsed="false">
      <c r="A42" s="238" t="s">
        <v>203</v>
      </c>
      <c r="B42" s="238"/>
      <c r="C42" s="238"/>
      <c r="D42" s="238"/>
      <c r="E42" s="496" t="n">
        <v>1</v>
      </c>
      <c r="F42" s="238"/>
      <c r="G42" s="238"/>
      <c r="H42" s="238"/>
      <c r="I42" s="238"/>
      <c r="J42" s="238"/>
      <c r="K42" s="238"/>
      <c r="L42" s="497"/>
      <c r="M42" s="77"/>
      <c r="N42" s="77"/>
      <c r="O42" s="77"/>
      <c r="Q42" s="56"/>
      <c r="R42" s="421"/>
      <c r="S42" s="422" t="n">
        <f aca="false">INDEX(PT_DIFFERENTIATION_NUM_NTAR,MATCH(A42,PT_DIFFERENTIATION_NTAR_ID,0))</f>
        <v>0</v>
      </c>
      <c r="T42" s="423" t="s">
        <v>122</v>
      </c>
      <c r="U42" s="424"/>
      <c r="V42" s="541"/>
      <c r="W42" s="541"/>
      <c r="X42" s="541"/>
      <c r="Y42" s="541"/>
      <c r="Z42" s="541"/>
      <c r="AA42" s="541"/>
      <c r="AB42" s="590"/>
      <c r="AC42" s="591" t="str">
        <f aca="false">INDEX(PT_DIFFERENTIATION_NTAR,MATCH(A42,PT_DIFFERENTIATION_NTAR_ID,0))</f>
        <v/>
      </c>
      <c r="AD42" s="591"/>
      <c r="AE42" s="591"/>
      <c r="AF42" s="591"/>
      <c r="AG42" s="591"/>
      <c r="AH42" s="591"/>
      <c r="AI42" s="591"/>
      <c r="AJ42" s="591"/>
      <c r="AK42" s="427"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2"/>
      <c r="AN42" s="122" t="str">
        <f aca="false">IF(T42="","",T42)</f>
        <v>Наименование тарифа</v>
      </c>
      <c r="AO42" s="122"/>
      <c r="AP42" s="122"/>
      <c r="AQ42" s="42" t="n">
        <v>102</v>
      </c>
    </row>
    <row r="43" customFormat="false" ht="21.75" hidden="false" customHeight="true" outlineLevel="0" collapsed="false">
      <c r="A43" s="238" t="s">
        <v>203</v>
      </c>
      <c r="B43" s="238" t="s">
        <v>204</v>
      </c>
      <c r="C43" s="238"/>
      <c r="D43" s="238"/>
      <c r="E43" s="496"/>
      <c r="F43" s="496" t="n">
        <v>1</v>
      </c>
      <c r="G43" s="238"/>
      <c r="H43" s="238"/>
      <c r="I43" s="238"/>
      <c r="J43" s="238"/>
      <c r="K43" s="238"/>
      <c r="L43" s="497"/>
      <c r="M43" s="77"/>
      <c r="N43" s="77"/>
      <c r="O43" s="77"/>
      <c r="P43" s="107"/>
      <c r="Q43" s="542"/>
      <c r="R43" s="429"/>
      <c r="S43" s="422" t="str">
        <f aca="false">INDEX(PT_DIFFERENTIATION_NUM_TER,MATCH(B43,PT_DIFFERENTIATION_TER_ID,0))</f>
        <v>.</v>
      </c>
      <c r="T43" s="430" t="s">
        <v>394</v>
      </c>
      <c r="U43" s="424"/>
      <c r="V43" s="541"/>
      <c r="W43" s="541"/>
      <c r="X43" s="541"/>
      <c r="Y43" s="541"/>
      <c r="Z43" s="541"/>
      <c r="AA43" s="541"/>
      <c r="AB43" s="590"/>
      <c r="AC43" s="591" t="str">
        <f aca="false">INDEX(PT_DIFFERENTIATION_TER,MATCH(B43,PT_DIFFERENTIATION_TER_ID,0))</f>
        <v/>
      </c>
      <c r="AD43" s="591"/>
      <c r="AE43" s="591"/>
      <c r="AF43" s="591"/>
      <c r="AG43" s="591"/>
      <c r="AH43" s="591"/>
      <c r="AI43" s="591"/>
      <c r="AJ43" s="591"/>
      <c r="AK43" s="427" t="s">
        <v>395</v>
      </c>
      <c r="AM43" s="122"/>
      <c r="AN43" s="122" t="str">
        <f aca="false">IF(T43="","",T43)</f>
        <v>Территория действия тарифа</v>
      </c>
      <c r="AO43" s="122"/>
      <c r="AP43" s="122"/>
      <c r="AQ43" s="42" t="n">
        <v>21</v>
      </c>
    </row>
    <row r="44" customFormat="false" ht="24" hidden="false" customHeight="true" outlineLevel="0" collapsed="false">
      <c r="A44" s="238" t="s">
        <v>203</v>
      </c>
      <c r="B44" s="238" t="s">
        <v>204</v>
      </c>
      <c r="C44" s="238" t="s">
        <v>205</v>
      </c>
      <c r="D44" s="238"/>
      <c r="E44" s="496"/>
      <c r="F44" s="496"/>
      <c r="G44" s="496" t="n">
        <v>1</v>
      </c>
      <c r="H44" s="238"/>
      <c r="I44" s="238"/>
      <c r="J44" s="238"/>
      <c r="K44" s="238"/>
      <c r="L44" s="497"/>
      <c r="M44" s="77"/>
      <c r="N44" s="77"/>
      <c r="O44" s="77"/>
      <c r="P44" s="131"/>
      <c r="Q44" s="542"/>
      <c r="R44" s="429"/>
      <c r="S44" s="422" t="str">
        <f aca="false">INDEX(PT_DIFFERENTIATION_NUM_CS,MATCH(C44,PT_DIFFERENTIATION_CS_ID,0))</f>
        <v>..</v>
      </c>
      <c r="T44" s="432" t="s">
        <v>396</v>
      </c>
      <c r="U44" s="424"/>
      <c r="V44" s="541"/>
      <c r="W44" s="541"/>
      <c r="X44" s="541"/>
      <c r="Y44" s="541"/>
      <c r="Z44" s="541"/>
      <c r="AA44" s="541"/>
      <c r="AB44" s="590"/>
      <c r="AC44" s="591" t="str">
        <f aca="false">INDEX(PT_DIFFERENTIATION_CS,MATCH(C44,PT_DIFFERENTIATION_CS_ID,0))</f>
        <v/>
      </c>
      <c r="AD44" s="591"/>
      <c r="AE44" s="591"/>
      <c r="AF44" s="591"/>
      <c r="AG44" s="591"/>
      <c r="AH44" s="591"/>
      <c r="AI44" s="591"/>
      <c r="AJ44" s="591"/>
      <c r="AK44" s="427" t="s">
        <v>397</v>
      </c>
      <c r="AM44" s="122"/>
      <c r="AN44" s="122" t="str">
        <f aca="false">IF(T44="","",T44)</f>
        <v>Наименование системы теплоснабжения </v>
      </c>
      <c r="AO44" s="122"/>
      <c r="AP44" s="122"/>
      <c r="AQ44" s="42" t="n">
        <v>23</v>
      </c>
    </row>
    <row r="45" customFormat="false" ht="21.75" hidden="false" customHeight="true" outlineLevel="0" collapsed="false">
      <c r="A45" s="238" t="s">
        <v>203</v>
      </c>
      <c r="B45" s="238" t="s">
        <v>204</v>
      </c>
      <c r="C45" s="238" t="s">
        <v>205</v>
      </c>
      <c r="D45" s="238" t="s">
        <v>206</v>
      </c>
      <c r="E45" s="496"/>
      <c r="F45" s="496"/>
      <c r="G45" s="496"/>
      <c r="H45" s="496" t="n">
        <v>1</v>
      </c>
      <c r="I45" s="238"/>
      <c r="J45" s="238"/>
      <c r="K45" s="238"/>
      <c r="L45" s="497"/>
      <c r="M45" s="77"/>
      <c r="N45" s="77"/>
      <c r="O45" s="77"/>
      <c r="P45" s="131"/>
      <c r="Q45" s="542"/>
      <c r="R45" s="429"/>
      <c r="S45" s="422" t="str">
        <f aca="false">INDEX(PT_DIFFERENTIATION_NUM_IST_TE,MATCH(D45,PT_DIFFERENTIATION_IST_TE_ID,0))</f>
        <v>...</v>
      </c>
      <c r="T45" s="433" t="s">
        <v>398</v>
      </c>
      <c r="U45" s="424"/>
      <c r="V45" s="541"/>
      <c r="W45" s="541"/>
      <c r="X45" s="541"/>
      <c r="Y45" s="541"/>
      <c r="Z45" s="541"/>
      <c r="AA45" s="541"/>
      <c r="AB45" s="590"/>
      <c r="AC45" s="591" t="str">
        <f aca="false">INDEX(PT_DIFFERENTIATION_IST_TE,MATCH(D45,PT_DIFFERENTIATION_IST_TE_ID,0))</f>
        <v/>
      </c>
      <c r="AD45" s="591"/>
      <c r="AE45" s="591"/>
      <c r="AF45" s="591"/>
      <c r="AG45" s="591"/>
      <c r="AH45" s="591"/>
      <c r="AI45" s="591"/>
      <c r="AJ45" s="591"/>
      <c r="AK45" s="427" t="s">
        <v>399</v>
      </c>
      <c r="AM45" s="122"/>
      <c r="AN45" s="122" t="str">
        <f aca="false">IF(T45="","",T45)</f>
        <v>Источник тепловой энергии  </v>
      </c>
      <c r="AO45" s="122"/>
      <c r="AP45" s="122"/>
      <c r="AQ45" s="42" t="n">
        <v>21</v>
      </c>
    </row>
    <row r="46" s="49" customFormat="true" ht="14.35" hidden="false" customHeight="false" outlineLevel="0" collapsed="false">
      <c r="A46" s="498" t="s">
        <v>203</v>
      </c>
      <c r="B46" s="498" t="s">
        <v>204</v>
      </c>
      <c r="C46" s="498" t="s">
        <v>205</v>
      </c>
      <c r="D46" s="498" t="s">
        <v>206</v>
      </c>
      <c r="E46" s="496"/>
      <c r="F46" s="496"/>
      <c r="G46" s="496"/>
      <c r="H46" s="496"/>
      <c r="I46" s="138" t="str">
        <f aca="false">S45&amp;".1"</f>
        <v>....1</v>
      </c>
      <c r="J46" s="498"/>
      <c r="K46" s="498"/>
      <c r="L46" s="499" t="s">
        <v>400</v>
      </c>
      <c r="M46" s="486"/>
      <c r="N46" s="486"/>
      <c r="O46" s="486"/>
      <c r="P46" s="125" t="n">
        <v>1</v>
      </c>
      <c r="Q46" s="125"/>
      <c r="R46" s="435"/>
      <c r="S46" s="299"/>
      <c r="T46" s="507"/>
      <c r="U46" s="508"/>
      <c r="V46" s="543"/>
      <c r="W46" s="543"/>
      <c r="X46" s="543"/>
      <c r="Y46" s="543"/>
      <c r="Z46" s="543"/>
      <c r="AA46" s="543"/>
      <c r="AB46" s="592"/>
      <c r="AC46" s="543"/>
      <c r="AD46" s="543"/>
      <c r="AE46" s="543"/>
      <c r="AF46" s="543"/>
      <c r="AG46" s="543"/>
      <c r="AH46" s="543"/>
      <c r="AI46" s="543"/>
      <c r="AJ46" s="543"/>
      <c r="AK46" s="510"/>
      <c r="AM46" s="122"/>
      <c r="AN46" s="122" t="str">
        <f aca="false">IF(T46="","",T46)</f>
        <v/>
      </c>
      <c r="AO46" s="122"/>
      <c r="AP46" s="122"/>
      <c r="AQ46" s="49" t="n">
        <v>0</v>
      </c>
    </row>
    <row r="47" s="49" customFormat="true" ht="14.35" hidden="false" customHeight="false" outlineLevel="0" collapsed="false">
      <c r="A47" s="498" t="s">
        <v>203</v>
      </c>
      <c r="B47" s="498" t="s">
        <v>204</v>
      </c>
      <c r="C47" s="498" t="s">
        <v>205</v>
      </c>
      <c r="D47" s="498" t="s">
        <v>206</v>
      </c>
      <c r="E47" s="496"/>
      <c r="F47" s="496"/>
      <c r="G47" s="496"/>
      <c r="H47" s="496"/>
      <c r="I47" s="138"/>
      <c r="J47" s="150" t="str">
        <f aca="false">S45&amp;".1"</f>
        <v>....1</v>
      </c>
      <c r="K47" s="498"/>
      <c r="L47" s="499"/>
      <c r="M47" s="486"/>
      <c r="N47" s="486"/>
      <c r="O47" s="486"/>
      <c r="P47" s="125"/>
      <c r="Q47" s="125" t="n">
        <v>1</v>
      </c>
      <c r="R47" s="438"/>
      <c r="S47" s="299"/>
      <c r="T47" s="544"/>
      <c r="U47" s="508"/>
      <c r="V47" s="543"/>
      <c r="W47" s="543"/>
      <c r="X47" s="543"/>
      <c r="Y47" s="543"/>
      <c r="Z47" s="543"/>
      <c r="AA47" s="543"/>
      <c r="AB47" s="592"/>
      <c r="AC47" s="543"/>
      <c r="AD47" s="543"/>
      <c r="AE47" s="543"/>
      <c r="AF47" s="543"/>
      <c r="AG47" s="543"/>
      <c r="AH47" s="543"/>
      <c r="AI47" s="543"/>
      <c r="AJ47" s="543"/>
      <c r="AK47" s="510"/>
      <c r="AM47" s="122"/>
      <c r="AN47" s="122" t="str">
        <f aca="false">IF(T47="","",T47)</f>
        <v/>
      </c>
      <c r="AO47" s="122"/>
      <c r="AP47" s="122"/>
      <c r="AQ47" s="49" t="n">
        <v>0</v>
      </c>
    </row>
    <row r="48" customFormat="false" ht="21.75" hidden="false" customHeight="true" outlineLevel="0" collapsed="false">
      <c r="A48" s="238" t="s">
        <v>203</v>
      </c>
      <c r="B48" s="238" t="s">
        <v>204</v>
      </c>
      <c r="C48" s="238" t="s">
        <v>205</v>
      </c>
      <c r="D48" s="238" t="s">
        <v>206</v>
      </c>
      <c r="E48" s="496"/>
      <c r="F48" s="496"/>
      <c r="G48" s="496"/>
      <c r="H48" s="496"/>
      <c r="I48" s="138"/>
      <c r="J48" s="138"/>
      <c r="K48" s="150" t="str">
        <f aca="false">S45&amp;".1"</f>
        <v>....1</v>
      </c>
      <c r="L48" s="497"/>
      <c r="P48" s="125"/>
      <c r="Q48" s="125"/>
      <c r="R48" s="438" t="n">
        <v>1</v>
      </c>
      <c r="S48" s="517" t="str">
        <f aca="false">$K48</f>
        <v>....1</v>
      </c>
      <c r="T48" s="593"/>
      <c r="U48" s="424"/>
      <c r="V48" s="441"/>
      <c r="W48" s="443"/>
      <c r="X48" s="444"/>
      <c r="Y48" s="206" t="s">
        <v>64</v>
      </c>
      <c r="Z48" s="444"/>
      <c r="AA48" s="206" t="s">
        <v>64</v>
      </c>
      <c r="AB48" s="594"/>
      <c r="AC48" s="595"/>
      <c r="AD48" s="441"/>
      <c r="AE48" s="443"/>
      <c r="AF48" s="444"/>
      <c r="AG48" s="206" t="s">
        <v>64</v>
      </c>
      <c r="AH48" s="444"/>
      <c r="AI48" s="206" t="s">
        <v>64</v>
      </c>
      <c r="AJ48" s="493"/>
      <c r="AK48" s="445" t="s">
        <v>477</v>
      </c>
      <c r="AL48" s="49" t="e">
        <f aca="false">strcheckdate(#REF!)</f>
        <v>#REF!</v>
      </c>
      <c r="AM48" s="122"/>
      <c r="AN48" s="122" t="str">
        <f aca="false">IF(T48="","",T48)</f>
        <v/>
      </c>
      <c r="AO48" s="122"/>
      <c r="AP48" s="122"/>
      <c r="AQ48" s="42" t="n">
        <v>21</v>
      </c>
    </row>
    <row r="49" customFormat="false" ht="11.25" hidden="false" customHeight="true" outlineLevel="0" collapsed="false">
      <c r="A49" s="238" t="s">
        <v>203</v>
      </c>
      <c r="B49" s="238" t="s">
        <v>204</v>
      </c>
      <c r="C49" s="238" t="s">
        <v>205</v>
      </c>
      <c r="D49" s="238" t="s">
        <v>206</v>
      </c>
      <c r="E49" s="496"/>
      <c r="F49" s="496"/>
      <c r="G49" s="496"/>
      <c r="H49" s="496"/>
      <c r="I49" s="138"/>
      <c r="J49" s="150"/>
      <c r="K49" s="238"/>
      <c r="L49" s="497"/>
      <c r="P49" s="125"/>
      <c r="Q49" s="125"/>
      <c r="R49" s="435"/>
      <c r="S49" s="447"/>
      <c r="T49" s="450" t="s">
        <v>465</v>
      </c>
      <c r="U49" s="196"/>
      <c r="V49" s="196"/>
      <c r="W49" s="196"/>
      <c r="X49" s="196"/>
      <c r="Y49" s="196"/>
      <c r="Z49" s="196"/>
      <c r="AA49" s="449"/>
      <c r="AB49" s="196"/>
      <c r="AC49" s="196"/>
      <c r="AD49" s="196"/>
      <c r="AE49" s="196"/>
      <c r="AF49" s="196"/>
      <c r="AG49" s="196"/>
      <c r="AH49" s="196"/>
      <c r="AI49" s="196"/>
      <c r="AJ49" s="449"/>
      <c r="AK49" s="445"/>
      <c r="AM49" s="122"/>
      <c r="AN49" s="122" t="str">
        <f aca="false">IF(T49="","",T49)</f>
        <v>Добавить строку</v>
      </c>
      <c r="AO49" s="122"/>
      <c r="AP49" s="122"/>
      <c r="AQ49" s="42" t="n">
        <v>11</v>
      </c>
    </row>
    <row r="50" s="49" customFormat="true" ht="0.75" hidden="false" customHeight="true" outlineLevel="0" collapsed="false">
      <c r="A50" s="498" t="s">
        <v>203</v>
      </c>
      <c r="B50" s="498" t="s">
        <v>204</v>
      </c>
      <c r="C50" s="498" t="s">
        <v>205</v>
      </c>
      <c r="D50" s="498" t="s">
        <v>206</v>
      </c>
      <c r="E50" s="496"/>
      <c r="F50" s="496"/>
      <c r="G50" s="496"/>
      <c r="H50" s="496"/>
      <c r="I50" s="138"/>
      <c r="J50" s="498"/>
      <c r="K50" s="498"/>
      <c r="L50" s="499"/>
      <c r="M50" s="486"/>
      <c r="N50" s="486"/>
      <c r="O50" s="486"/>
      <c r="P50" s="125"/>
      <c r="Q50" s="125"/>
      <c r="R50" s="435"/>
      <c r="S50" s="511"/>
      <c r="T50" s="512" t="s">
        <v>409</v>
      </c>
      <c r="U50" s="513"/>
      <c r="V50" s="513"/>
      <c r="W50" s="513"/>
      <c r="X50" s="513"/>
      <c r="Y50" s="513"/>
      <c r="Z50" s="513"/>
      <c r="AA50" s="513"/>
      <c r="AB50" s="513"/>
      <c r="AC50" s="513"/>
      <c r="AD50" s="513"/>
      <c r="AE50" s="513"/>
      <c r="AF50" s="513"/>
      <c r="AG50" s="513"/>
      <c r="AH50" s="513"/>
      <c r="AI50" s="513"/>
      <c r="AJ50" s="513"/>
      <c r="AK50" s="514"/>
      <c r="AM50" s="122"/>
      <c r="AN50" s="122" t="str">
        <f aca="false">IF(T50="","",T50)</f>
        <v>Добавить группу потребителей</v>
      </c>
      <c r="AO50" s="122"/>
      <c r="AP50" s="122"/>
      <c r="AQ50" s="49" t="n">
        <v>1</v>
      </c>
    </row>
    <row r="51" s="124" customFormat="true" ht="0.75" hidden="false" customHeight="true" outlineLevel="0" collapsed="false">
      <c r="A51" s="498" t="s">
        <v>203</v>
      </c>
      <c r="B51" s="498" t="s">
        <v>204</v>
      </c>
      <c r="C51" s="498" t="s">
        <v>205</v>
      </c>
      <c r="D51" s="498" t="s">
        <v>206</v>
      </c>
      <c r="E51" s="496"/>
      <c r="F51" s="496"/>
      <c r="G51" s="496"/>
      <c r="H51" s="496"/>
      <c r="I51" s="498"/>
      <c r="J51" s="498"/>
      <c r="K51" s="498"/>
      <c r="L51" s="499"/>
      <c r="M51" s="500"/>
      <c r="N51" s="500"/>
      <c r="P51" s="160"/>
      <c r="Q51" s="455"/>
      <c r="R51" s="579"/>
      <c r="S51" s="511"/>
      <c r="T51" s="512"/>
      <c r="U51" s="513"/>
      <c r="V51" s="513"/>
      <c r="W51" s="513"/>
      <c r="X51" s="513"/>
      <c r="Y51" s="513"/>
      <c r="Z51" s="513"/>
      <c r="AA51" s="513"/>
      <c r="AB51" s="513"/>
      <c r="AC51" s="513"/>
      <c r="AD51" s="513"/>
      <c r="AE51" s="513"/>
      <c r="AF51" s="513"/>
      <c r="AG51" s="513"/>
      <c r="AH51" s="513"/>
      <c r="AI51" s="513"/>
      <c r="AJ51" s="513"/>
      <c r="AK51" s="514"/>
      <c r="AL51" s="49"/>
      <c r="AM51" s="122"/>
      <c r="AN51" s="122" t="str">
        <f aca="false">IF(T51="","",T51)</f>
        <v/>
      </c>
      <c r="AO51" s="122"/>
      <c r="AP51" s="122"/>
      <c r="AQ51" s="124" t="n">
        <v>1</v>
      </c>
    </row>
    <row r="52" s="49" customFormat="true" ht="0.75" hidden="false" customHeight="true" outlineLevel="0" collapsed="false">
      <c r="A52" s="498" t="s">
        <v>203</v>
      </c>
      <c r="B52" s="498" t="s">
        <v>204</v>
      </c>
      <c r="C52" s="498" t="s">
        <v>205</v>
      </c>
      <c r="D52" s="498"/>
      <c r="E52" s="496"/>
      <c r="F52" s="496"/>
      <c r="G52" s="496"/>
      <c r="H52" s="498"/>
      <c r="I52" s="498"/>
      <c r="J52" s="498"/>
      <c r="K52" s="498"/>
      <c r="L52" s="499"/>
      <c r="M52" s="500"/>
      <c r="N52" s="500"/>
      <c r="O52" s="124"/>
      <c r="P52" s="160"/>
      <c r="Q52" s="455"/>
      <c r="R52" s="160"/>
      <c r="S52" s="460"/>
      <c r="T52" s="463" t="s">
        <v>411</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источник для дифференциации</v>
      </c>
      <c r="AO52" s="122"/>
      <c r="AP52" s="122"/>
      <c r="AQ52" s="49" t="n">
        <v>1</v>
      </c>
    </row>
    <row r="53" s="49" customFormat="true" ht="0.75" hidden="false" customHeight="true" outlineLevel="0" collapsed="false">
      <c r="A53" s="498" t="s">
        <v>203</v>
      </c>
      <c r="B53" s="498" t="s">
        <v>204</v>
      </c>
      <c r="C53" s="498"/>
      <c r="D53" s="498"/>
      <c r="E53" s="496"/>
      <c r="F53" s="496"/>
      <c r="G53" s="498"/>
      <c r="H53" s="498"/>
      <c r="I53" s="498"/>
      <c r="J53" s="498"/>
      <c r="K53" s="498"/>
      <c r="L53" s="499"/>
      <c r="M53" s="501"/>
      <c r="N53" s="501"/>
      <c r="O53" s="124"/>
      <c r="P53" s="160"/>
      <c r="Q53" s="455"/>
      <c r="R53" s="160"/>
      <c r="S53" s="460"/>
      <c r="T53" s="463" t="s">
        <v>412</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централизованную систему для дифференциации</v>
      </c>
      <c r="AO53" s="122"/>
      <c r="AP53" s="122"/>
      <c r="AQ53" s="49" t="n">
        <v>1</v>
      </c>
    </row>
    <row r="54" s="49" customFormat="true" ht="0.75" hidden="false" customHeight="true" outlineLevel="0" collapsed="false">
      <c r="A54" s="498" t="s">
        <v>203</v>
      </c>
      <c r="B54" s="498"/>
      <c r="C54" s="498"/>
      <c r="D54" s="498"/>
      <c r="E54" s="496"/>
      <c r="F54" s="498"/>
      <c r="G54" s="498"/>
      <c r="H54" s="498"/>
      <c r="I54" s="498"/>
      <c r="J54" s="498"/>
      <c r="K54" s="498"/>
      <c r="L54" s="499"/>
      <c r="M54" s="501"/>
      <c r="N54" s="501"/>
      <c r="O54" s="124"/>
      <c r="P54" s="160"/>
      <c r="Q54" s="455"/>
      <c r="R54" s="160"/>
      <c r="S54" s="460"/>
      <c r="T54" s="463" t="s">
        <v>413</v>
      </c>
      <c r="U54" s="462"/>
      <c r="V54" s="462"/>
      <c r="W54" s="462"/>
      <c r="X54" s="462"/>
      <c r="Y54" s="462"/>
      <c r="Z54" s="462"/>
      <c r="AA54" s="462"/>
      <c r="AB54" s="462"/>
      <c r="AC54" s="462"/>
      <c r="AD54" s="462"/>
      <c r="AE54" s="462"/>
      <c r="AF54" s="462"/>
      <c r="AG54" s="462"/>
      <c r="AH54" s="462"/>
      <c r="AI54" s="462"/>
      <c r="AJ54" s="462"/>
      <c r="AK54" s="462"/>
      <c r="AM54" s="122"/>
      <c r="AN54" s="122" t="str">
        <f aca="false">IF(T54="","",T54)</f>
        <v>Добавить территорию для дифференциации</v>
      </c>
      <c r="AO54" s="122"/>
      <c r="AP54" s="122"/>
      <c r="AQ54" s="49" t="n">
        <v>1</v>
      </c>
    </row>
    <row r="55" s="49" customFormat="true" ht="0.75" hidden="false" customHeight="true" outlineLevel="0" collapsed="false">
      <c r="A55" s="498" t="s">
        <v>203</v>
      </c>
      <c r="B55" s="498"/>
      <c r="C55" s="498"/>
      <c r="D55" s="498"/>
      <c r="E55" s="496"/>
      <c r="F55" s="498"/>
      <c r="G55" s="498"/>
      <c r="H55" s="498"/>
      <c r="I55" s="498"/>
      <c r="J55" s="498"/>
      <c r="K55" s="498"/>
      <c r="L55" s="499"/>
      <c r="M55" s="501"/>
      <c r="N55" s="501"/>
      <c r="O55" s="124"/>
      <c r="P55" s="160"/>
      <c r="Q55" s="455"/>
      <c r="R55" s="160"/>
      <c r="S55" s="460"/>
      <c r="T55" s="463" t="s">
        <v>413</v>
      </c>
      <c r="U55" s="462"/>
      <c r="V55" s="462"/>
      <c r="W55" s="462"/>
      <c r="X55" s="462"/>
      <c r="Y55" s="462"/>
      <c r="Z55" s="462"/>
      <c r="AA55" s="462"/>
      <c r="AB55" s="462"/>
      <c r="AC55" s="462"/>
      <c r="AD55" s="462"/>
      <c r="AE55" s="462"/>
      <c r="AF55" s="462"/>
      <c r="AG55" s="462"/>
      <c r="AH55" s="462"/>
      <c r="AI55" s="462"/>
      <c r="AJ55" s="462"/>
      <c r="AK55" s="462"/>
      <c r="AM55" s="122"/>
      <c r="AN55" s="122" t="str">
        <f aca="false">IF(T55="","",T55)</f>
        <v>Добавить территорию для дифференциации</v>
      </c>
      <c r="AO55" s="122"/>
      <c r="AP55" s="122"/>
      <c r="AQ55" s="49" t="n">
        <v>1</v>
      </c>
    </row>
    <row r="56" s="49" customFormat="true" ht="0.75" hidden="false" customHeight="true" outlineLevel="0" collapsed="false">
      <c r="A56" s="498"/>
      <c r="B56" s="498"/>
      <c r="C56" s="498"/>
      <c r="D56" s="498"/>
      <c r="E56" s="498"/>
      <c r="F56" s="498"/>
      <c r="G56" s="498"/>
      <c r="H56" s="498"/>
      <c r="I56" s="498"/>
      <c r="J56" s="498"/>
      <c r="K56" s="498"/>
      <c r="L56" s="499"/>
      <c r="M56" s="501"/>
      <c r="N56" s="501"/>
      <c r="O56" s="124"/>
      <c r="P56" s="160"/>
      <c r="Q56" s="455"/>
      <c r="R56" s="160"/>
      <c r="S56" s="460"/>
      <c r="T56" s="463" t="s">
        <v>445</v>
      </c>
      <c r="U56" s="462"/>
      <c r="V56" s="462"/>
      <c r="W56" s="462"/>
      <c r="X56" s="462"/>
      <c r="Y56" s="462"/>
      <c r="Z56" s="462"/>
      <c r="AA56" s="462"/>
      <c r="AB56" s="462"/>
      <c r="AC56" s="462"/>
      <c r="AD56" s="462"/>
      <c r="AE56" s="462"/>
      <c r="AF56" s="462"/>
      <c r="AG56" s="462"/>
      <c r="AH56" s="462"/>
      <c r="AI56" s="462"/>
      <c r="AJ56" s="462"/>
      <c r="AK56" s="462"/>
      <c r="AM56" s="122"/>
      <c r="AN56" s="122" t="str">
        <f aca="false">IF(T56="","",T56)</f>
        <v>Добавить наименование тарифа</v>
      </c>
      <c r="AO56" s="122"/>
      <c r="AP56" s="122"/>
      <c r="AQ56" s="49" t="n">
        <v>1</v>
      </c>
    </row>
    <row r="57" customFormat="false" ht="11.25" hidden="false" customHeight="true" outlineLevel="0" collapsed="false">
      <c r="M57" s="42"/>
      <c r="N57" s="42"/>
      <c r="O57" s="42"/>
      <c r="P57" s="45"/>
      <c r="Q57" s="45"/>
      <c r="R57" s="42"/>
      <c r="S57" s="42"/>
      <c r="AL57" s="42"/>
      <c r="AM57" s="42"/>
      <c r="AN57" s="42"/>
      <c r="AO57" s="42"/>
      <c r="AP57" s="42"/>
      <c r="AQ57" s="42" t="n">
        <v>11</v>
      </c>
    </row>
    <row r="58" customFormat="false" ht="19.5" hidden="false" customHeight="true" outlineLevel="0" collapsed="false">
      <c r="O58" s="42"/>
      <c r="S58" s="414"/>
      <c r="T58" s="495"/>
      <c r="U58" s="495"/>
      <c r="V58" s="495"/>
      <c r="W58" s="495"/>
      <c r="X58" s="495"/>
      <c r="Y58" s="495"/>
      <c r="Z58" s="495"/>
      <c r="AA58" s="495"/>
      <c r="AB58" s="495"/>
      <c r="AC58" s="495"/>
      <c r="AD58" s="495"/>
      <c r="AE58" s="495"/>
      <c r="AF58" s="495"/>
      <c r="AG58" s="495"/>
      <c r="AH58" s="495"/>
      <c r="AI58" s="495"/>
      <c r="AJ58" s="495"/>
      <c r="AK58" s="495"/>
      <c r="AQ58" s="42" t="n">
        <v>19</v>
      </c>
    </row>
    <row r="59" customFormat="false" ht="21" hidden="false" customHeight="true" outlineLevel="0" collapsed="false">
      <c r="O59" s="42"/>
      <c r="T59" s="495"/>
      <c r="U59" s="495"/>
      <c r="V59" s="495"/>
      <c r="W59" s="495"/>
      <c r="X59" s="495"/>
      <c r="Y59" s="495"/>
      <c r="Z59" s="495"/>
      <c r="AA59" s="495"/>
      <c r="AB59" s="495"/>
      <c r="AC59" s="495"/>
      <c r="AD59" s="495"/>
      <c r="AE59" s="495"/>
      <c r="AF59" s="495"/>
      <c r="AG59" s="495"/>
      <c r="AH59" s="495"/>
      <c r="AI59" s="495"/>
      <c r="AJ59" s="495"/>
      <c r="AK59" s="495"/>
      <c r="AQ59" s="42" t="n">
        <v>20</v>
      </c>
    </row>
    <row r="60" customFormat="false" ht="14.25" hidden="false" customHeight="true" outlineLevel="0" collapsed="false">
      <c r="O60" s="42"/>
      <c r="T60" s="495"/>
      <c r="U60" s="495"/>
      <c r="V60" s="495"/>
      <c r="W60" s="495"/>
      <c r="X60" s="495"/>
      <c r="Y60" s="495"/>
      <c r="Z60" s="495"/>
      <c r="AA60" s="495"/>
      <c r="AB60" s="495"/>
      <c r="AC60" s="495"/>
      <c r="AD60" s="495"/>
      <c r="AE60" s="495"/>
      <c r="AF60" s="495"/>
      <c r="AG60" s="495"/>
      <c r="AH60" s="495"/>
      <c r="AI60" s="495"/>
      <c r="AJ60" s="495"/>
      <c r="AK60" s="495"/>
      <c r="AQ60" s="42" t="n">
        <v>14</v>
      </c>
    </row>
    <row r="61" customFormat="false" ht="19.5" hidden="false" customHeight="true" outlineLevel="0" collapsed="false">
      <c r="O61" s="42"/>
      <c r="T61" s="495"/>
      <c r="U61" s="495"/>
      <c r="V61" s="495"/>
      <c r="W61" s="495"/>
      <c r="X61" s="495"/>
      <c r="Y61" s="495"/>
      <c r="Z61" s="495"/>
      <c r="AA61" s="495"/>
      <c r="AB61" s="495"/>
      <c r="AC61" s="495"/>
      <c r="AD61" s="495"/>
      <c r="AE61" s="495"/>
      <c r="AF61" s="495"/>
      <c r="AG61" s="495"/>
      <c r="AH61" s="495"/>
      <c r="AI61" s="495"/>
      <c r="AJ61" s="495"/>
      <c r="AK61" s="495"/>
      <c r="AQ61" s="42" t="n">
        <v>19</v>
      </c>
    </row>
    <row r="62" customFormat="false" ht="16.5" hidden="false" customHeight="true" outlineLevel="0" collapsed="false">
      <c r="O62" s="42"/>
      <c r="T62" s="495"/>
      <c r="U62" s="495"/>
      <c r="V62" s="495"/>
      <c r="W62" s="495"/>
      <c r="X62" s="495"/>
      <c r="Y62" s="495"/>
      <c r="Z62" s="495"/>
      <c r="AA62" s="495"/>
      <c r="AB62" s="495"/>
      <c r="AC62" s="495"/>
      <c r="AD62" s="495"/>
      <c r="AE62" s="495"/>
      <c r="AF62" s="495"/>
      <c r="AG62" s="495"/>
      <c r="AH62" s="495"/>
      <c r="AI62" s="495"/>
      <c r="AJ62" s="495"/>
      <c r="AK62" s="495"/>
      <c r="AQ62" s="42" t="n">
        <v>16</v>
      </c>
    </row>
    <row r="63" customFormat="false" ht="14.25" hidden="false" customHeight="true" outlineLevel="0" collapsed="false">
      <c r="O63" s="42"/>
      <c r="AQ63" s="42" t="n">
        <v>14</v>
      </c>
    </row>
    <row r="64" customFormat="false" ht="22.5" hidden="true" customHeight="true" outlineLevel="0" collapsed="false">
      <c r="A64" s="42" t="s">
        <v>80</v>
      </c>
      <c r="B64" s="42" t="n">
        <v>0</v>
      </c>
      <c r="C64" s="42" t="n">
        <v>0</v>
      </c>
      <c r="D64" s="42" t="n">
        <v>0</v>
      </c>
      <c r="E64" s="42" t="n">
        <v>0</v>
      </c>
      <c r="F64" s="42" t="n">
        <v>0</v>
      </c>
      <c r="G64" s="42" t="n">
        <v>0</v>
      </c>
      <c r="H64" s="42" t="n">
        <v>0</v>
      </c>
      <c r="I64" s="42" t="n">
        <v>0</v>
      </c>
      <c r="J64" s="42" t="n">
        <v>0</v>
      </c>
      <c r="K64" s="42" t="n">
        <v>0</v>
      </c>
      <c r="L64" s="43" t="n">
        <v>0</v>
      </c>
      <c r="M64" s="52" t="n">
        <v>0</v>
      </c>
      <c r="N64" s="52" t="n">
        <v>0</v>
      </c>
      <c r="O64" s="52" t="n">
        <v>0</v>
      </c>
      <c r="P64" s="53" t="n">
        <v>3</v>
      </c>
      <c r="Q64" s="469" t="n">
        <v>3</v>
      </c>
      <c r="R64" s="416" t="n">
        <v>3</v>
      </c>
      <c r="S64" s="77" t="n">
        <v>12</v>
      </c>
      <c r="T64" s="42" t="n">
        <v>31</v>
      </c>
      <c r="U64" s="42" t="n">
        <v>0</v>
      </c>
      <c r="V64" s="42" t="n">
        <v>0</v>
      </c>
      <c r="W64" s="42" t="n">
        <v>0</v>
      </c>
      <c r="X64" s="42" t="n">
        <v>0</v>
      </c>
      <c r="Y64" s="42" t="n">
        <v>0</v>
      </c>
      <c r="Z64" s="42" t="n">
        <v>0</v>
      </c>
      <c r="AA64" s="42" t="n">
        <v>0</v>
      </c>
      <c r="AB64" s="42" t="n">
        <v>27</v>
      </c>
      <c r="AC64" s="42" t="n">
        <v>24</v>
      </c>
      <c r="AD64" s="42" t="n">
        <v>21</v>
      </c>
      <c r="AE64" s="42" t="n">
        <v>21</v>
      </c>
      <c r="AF64" s="42" t="n">
        <v>11</v>
      </c>
      <c r="AG64" s="42" t="n">
        <v>3</v>
      </c>
      <c r="AH64" s="42" t="n">
        <v>11</v>
      </c>
      <c r="AI64" s="42" t="n">
        <v>8</v>
      </c>
      <c r="AJ64" s="42" t="n">
        <v>4</v>
      </c>
      <c r="AK64" s="42" t="n">
        <v>115</v>
      </c>
      <c r="AL64" s="49" t="n">
        <v>10</v>
      </c>
      <c r="AM64" s="49" t="n">
        <v>10</v>
      </c>
      <c r="AN64" s="49" t="n">
        <v>10</v>
      </c>
      <c r="AO64" s="49" t="n">
        <v>10</v>
      </c>
      <c r="AP64" s="49" t="n">
        <v>10</v>
      </c>
      <c r="AQ64" s="42" t="n">
        <v>23</v>
      </c>
    </row>
  </sheetData>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6">
    <dataValidation allowBlank="true" error="Допускается ввод не более 900 символов!" errorStyle="stop" errorTitle="Ошибка" operator="lessThanOrEqual" showDropDown="false" showErrorMessage="true" showInputMessage="true" sqref="T8 AB8 T48 AB48"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 AA8 AG8 AI8 AC16 AG16 AI16 Y48 AA48 AG48 AI48"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 Z8 AF8 AH8 AF16 AH16 X48 Z48 AF48 AH48" type="none">
      <formula1>0</formula1>
      <formula2>0</formula2>
    </dataValidation>
    <dataValidation allowBlank="true" error="Выберите значение из списка" errorStyle="stop" errorTitle="Ошибка" operator="between" showDropDown="false" showErrorMessage="false" showInputMessage="false" sqref="V39:W39"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D39:AE39" type="list">
      <formula1>UNIT_CONNECT_LIST</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C8 AC48"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9" width="3.71"/>
    <col collapsed="false" customWidth="true" hidden="false" outlineLevel="0" max="18" min="18"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9"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56"/>
      <c r="R2" s="421"/>
      <c r="S2" s="422" t="e">
        <f aca="false">INDEX(PT_DIFFERENTIATION_NUM_NTAR,MATCH(A2,PT_DIFFERENTIATION_NTAR_ID,0))</f>
        <v>#N/A</v>
      </c>
      <c r="T2" s="423" t="s">
        <v>122</v>
      </c>
      <c r="U2" s="424"/>
      <c r="V2" s="591"/>
      <c r="W2" s="591"/>
      <c r="X2" s="591"/>
      <c r="Y2" s="591"/>
      <c r="Z2" s="591"/>
      <c r="AA2" s="591"/>
      <c r="AB2" s="591"/>
      <c r="AC2" s="591"/>
      <c r="AD2" s="426" t="e">
        <f aca="false">INDEX(PT_DIFFERENTIATION_NTAR,MATCH(A2,PT_DIFFERENTIATION_NTAR_ID,0))</f>
        <v>#N/A</v>
      </c>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2"/>
      <c r="BF2" s="122" t="str">
        <f aca="false">IF(T2="","",T2)</f>
        <v>Наименование тарифа</v>
      </c>
      <c r="BG2" s="122"/>
      <c r="BH2" s="122"/>
      <c r="BI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107"/>
      <c r="Q3" s="542"/>
      <c r="R3" s="429"/>
      <c r="S3" s="422" t="e">
        <f aca="false">INDEX(PT_DIFFERENTIATION_NUM_TER,MATCH(B3,PT_DIFFERENTIATION_TER_ID,0))</f>
        <v>#N/A</v>
      </c>
      <c r="T3" s="430" t="s">
        <v>394</v>
      </c>
      <c r="U3" s="424"/>
      <c r="V3" s="591"/>
      <c r="W3" s="591"/>
      <c r="X3" s="591"/>
      <c r="Y3" s="591"/>
      <c r="Z3" s="591"/>
      <c r="AA3" s="591"/>
      <c r="AB3" s="591"/>
      <c r="AC3" s="591"/>
      <c r="AD3" s="426" t="e">
        <f aca="false">INDEX(PT_DIFFERENTIATION_TER,MATCH(B3,PT_DIFFERENTIATION_TER_ID,0))</f>
        <v>#N/A</v>
      </c>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7" t="s">
        <v>395</v>
      </c>
      <c r="BE3" s="122"/>
      <c r="BF3" s="122" t="str">
        <f aca="false">IF(T3="","",T3)</f>
        <v>Территория действия тарифа</v>
      </c>
      <c r="BG3" s="122"/>
      <c r="BH3" s="122"/>
      <c r="BI3" s="42" t="n">
        <v>0</v>
      </c>
    </row>
    <row r="4" customFormat="false" ht="42" hidden="true" customHeight="true" outlineLevel="0" collapsed="false">
      <c r="A4" s="417"/>
      <c r="B4" s="417"/>
      <c r="C4" s="417"/>
      <c r="D4" s="417"/>
      <c r="E4" s="418"/>
      <c r="F4" s="418"/>
      <c r="G4" s="418" t="n">
        <v>1</v>
      </c>
      <c r="H4" s="417"/>
      <c r="I4" s="417"/>
      <c r="J4" s="417"/>
      <c r="K4" s="417"/>
      <c r="L4" s="419"/>
      <c r="M4" s="420"/>
      <c r="N4" s="420"/>
      <c r="O4" s="420"/>
      <c r="P4" s="131"/>
      <c r="Q4" s="542"/>
      <c r="R4" s="429"/>
      <c r="S4" s="422" t="e">
        <f aca="false">INDEX(PT_DIFFERENTIATION_NUM_CS,MATCH(C4,PT_DIFFERENTIATION_CS_ID,0))</f>
        <v>#N/A</v>
      </c>
      <c r="T4" s="432" t="s">
        <v>478</v>
      </c>
      <c r="U4" s="424"/>
      <c r="V4" s="591"/>
      <c r="W4" s="591"/>
      <c r="X4" s="591"/>
      <c r="Y4" s="591"/>
      <c r="Z4" s="591"/>
      <c r="AA4" s="591"/>
      <c r="AB4" s="591"/>
      <c r="AC4" s="591"/>
      <c r="AD4" s="426" t="e">
        <f aca="false">INDEX(PT_DIFFERENTIATION_CS,MATCH(C4,PT_DIFFERENTIATION_CS_ID,0))</f>
        <v>#N/A</v>
      </c>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7" t="s">
        <v>479</v>
      </c>
      <c r="BE4" s="122"/>
      <c r="BF4" s="122" t="str">
        <f aca="false">IF(T4="","",T4)</f>
        <v>Наименование централизованной системы холодного водоснабжения</v>
      </c>
      <c r="BG4" s="122"/>
      <c r="BH4" s="122"/>
      <c r="BI4" s="42" t="n">
        <v>0</v>
      </c>
    </row>
    <row r="5" s="49" customFormat="true" ht="14.25" hidden="true" customHeight="true" outlineLevel="0" collapsed="false">
      <c r="A5" s="126"/>
      <c r="B5" s="126"/>
      <c r="C5" s="126"/>
      <c r="D5" s="126"/>
      <c r="E5" s="418"/>
      <c r="F5" s="418"/>
      <c r="G5" s="418"/>
      <c r="H5" s="418" t="n">
        <v>1</v>
      </c>
      <c r="I5" s="126"/>
      <c r="J5" s="126"/>
      <c r="K5" s="126"/>
      <c r="L5" s="194"/>
      <c r="M5" s="402"/>
      <c r="N5" s="402"/>
      <c r="O5" s="402"/>
      <c r="P5" s="601"/>
      <c r="Q5" s="602"/>
      <c r="R5" s="438"/>
      <c r="S5" s="299"/>
      <c r="T5" s="603"/>
      <c r="U5" s="508"/>
      <c r="V5" s="543"/>
      <c r="W5" s="543"/>
      <c r="X5" s="543"/>
      <c r="Y5" s="543"/>
      <c r="Z5" s="543"/>
      <c r="AA5" s="543"/>
      <c r="AB5" s="543"/>
      <c r="AC5" s="543"/>
      <c r="AD5" s="509"/>
      <c r="AE5" s="509"/>
      <c r="AF5" s="509"/>
      <c r="AG5" s="509"/>
      <c r="AH5" s="509"/>
      <c r="AI5" s="509"/>
      <c r="AJ5" s="509"/>
      <c r="AK5" s="509"/>
      <c r="AL5" s="509"/>
      <c r="AM5" s="509"/>
      <c r="AN5" s="509"/>
      <c r="AO5" s="509"/>
      <c r="AP5" s="509"/>
      <c r="AQ5" s="509"/>
      <c r="AR5" s="509"/>
      <c r="AS5" s="509"/>
      <c r="AT5" s="509"/>
      <c r="AU5" s="509"/>
      <c r="AV5" s="509"/>
      <c r="AW5" s="509"/>
      <c r="AX5" s="509"/>
      <c r="AY5" s="509"/>
      <c r="AZ5" s="509"/>
      <c r="BA5" s="509"/>
      <c r="BB5" s="509"/>
      <c r="BC5" s="510" t="s">
        <v>399</v>
      </c>
      <c r="BE5" s="122"/>
      <c r="BF5" s="122" t="str">
        <f aca="false">IF(T5="","",T5)</f>
        <v/>
      </c>
      <c r="BG5" s="122"/>
      <c r="BH5" s="122"/>
      <c r="BI5" s="49" t="n">
        <v>0</v>
      </c>
    </row>
    <row r="6" s="49" customFormat="true" ht="14.25" hidden="true" customHeight="true" outlineLevel="0" collapsed="false">
      <c r="A6" s="126"/>
      <c r="B6" s="126"/>
      <c r="C6" s="126"/>
      <c r="D6" s="126"/>
      <c r="E6" s="418"/>
      <c r="F6" s="418"/>
      <c r="G6" s="418"/>
      <c r="H6" s="418"/>
      <c r="I6" s="434" t="str">
        <f aca="false">S5&amp;".1"</f>
        <v>.1</v>
      </c>
      <c r="J6" s="126"/>
      <c r="K6" s="126"/>
      <c r="L6" s="194" t="s">
        <v>400</v>
      </c>
      <c r="M6" s="515"/>
      <c r="N6" s="515"/>
      <c r="O6" s="515"/>
      <c r="P6" s="125" t="n">
        <v>1</v>
      </c>
      <c r="Q6" s="125"/>
      <c r="R6" s="435"/>
      <c r="S6" s="299"/>
      <c r="T6" s="507"/>
      <c r="U6" s="508"/>
      <c r="V6" s="543"/>
      <c r="W6" s="543"/>
      <c r="X6" s="543"/>
      <c r="Y6" s="543"/>
      <c r="Z6" s="543"/>
      <c r="AA6" s="543"/>
      <c r="AB6" s="543"/>
      <c r="AC6" s="543"/>
      <c r="AD6" s="509"/>
      <c r="AE6" s="509"/>
      <c r="AF6" s="509"/>
      <c r="AG6" s="509"/>
      <c r="AH6" s="509"/>
      <c r="AI6" s="509"/>
      <c r="AJ6" s="509"/>
      <c r="AK6" s="509"/>
      <c r="AL6" s="509"/>
      <c r="AM6" s="509"/>
      <c r="AN6" s="509"/>
      <c r="AO6" s="509"/>
      <c r="AP6" s="509"/>
      <c r="AQ6" s="509"/>
      <c r="AR6" s="509"/>
      <c r="AS6" s="509"/>
      <c r="AT6" s="509"/>
      <c r="AU6" s="509"/>
      <c r="AV6" s="509"/>
      <c r="AW6" s="509"/>
      <c r="AX6" s="509"/>
      <c r="AY6" s="509"/>
      <c r="AZ6" s="509"/>
      <c r="BA6" s="509"/>
      <c r="BB6" s="509"/>
      <c r="BC6" s="510"/>
      <c r="BE6" s="122"/>
      <c r="BF6" s="122" t="str">
        <f aca="false">IF(T6="","",T6)</f>
        <v/>
      </c>
      <c r="BG6" s="122"/>
      <c r="BH6" s="122"/>
      <c r="BI6" s="49" t="n">
        <v>0</v>
      </c>
    </row>
    <row r="7" s="49" customFormat="true" ht="14.25" hidden="true" customHeight="true" outlineLevel="0" collapsed="false">
      <c r="A7" s="126"/>
      <c r="B7" s="126"/>
      <c r="C7" s="126"/>
      <c r="D7" s="126"/>
      <c r="E7" s="418"/>
      <c r="F7" s="418"/>
      <c r="G7" s="418"/>
      <c r="H7" s="418"/>
      <c r="I7" s="434"/>
      <c r="J7" s="434" t="str">
        <f aca="false">S5&amp;".1"</f>
        <v>.1</v>
      </c>
      <c r="K7" s="126"/>
      <c r="L7" s="194"/>
      <c r="M7" s="515"/>
      <c r="N7" s="515"/>
      <c r="O7" s="515"/>
      <c r="P7" s="125"/>
      <c r="Q7" s="125" t="n">
        <v>1</v>
      </c>
      <c r="R7" s="438"/>
      <c r="S7" s="299"/>
      <c r="T7" s="544"/>
      <c r="U7" s="508"/>
      <c r="V7" s="543"/>
      <c r="W7" s="543"/>
      <c r="X7" s="543"/>
      <c r="Y7" s="543"/>
      <c r="Z7" s="543"/>
      <c r="AA7" s="543"/>
      <c r="AB7" s="543"/>
      <c r="AC7" s="543"/>
      <c r="AD7" s="509"/>
      <c r="AE7" s="509"/>
      <c r="AF7" s="509"/>
      <c r="AG7" s="509"/>
      <c r="AH7" s="509"/>
      <c r="AI7" s="509"/>
      <c r="AJ7" s="509"/>
      <c r="AK7" s="509"/>
      <c r="AL7" s="509"/>
      <c r="AM7" s="509"/>
      <c r="AN7" s="509"/>
      <c r="AO7" s="509"/>
      <c r="AP7" s="509"/>
      <c r="AQ7" s="509"/>
      <c r="AR7" s="509"/>
      <c r="AS7" s="509"/>
      <c r="AT7" s="509"/>
      <c r="AU7" s="509"/>
      <c r="AV7" s="509"/>
      <c r="AW7" s="509"/>
      <c r="AX7" s="509"/>
      <c r="AY7" s="509"/>
      <c r="AZ7" s="509"/>
      <c r="BA7" s="509"/>
      <c r="BB7" s="509"/>
      <c r="BC7" s="510"/>
      <c r="BE7" s="122"/>
      <c r="BF7" s="122" t="str">
        <f aca="false">IF(T7="","",T7)</f>
        <v/>
      </c>
      <c r="BG7" s="122"/>
      <c r="BH7" s="122"/>
      <c r="BI7" s="49" t="n">
        <v>0</v>
      </c>
    </row>
    <row r="8" customFormat="false" ht="11.25" hidden="true" customHeight="true" outlineLevel="0" collapsed="false">
      <c r="A8" s="417"/>
      <c r="B8" s="417"/>
      <c r="C8" s="417"/>
      <c r="D8" s="417"/>
      <c r="E8" s="418"/>
      <c r="F8" s="418"/>
      <c r="G8" s="418"/>
      <c r="H8" s="418"/>
      <c r="I8" s="434"/>
      <c r="J8" s="434"/>
      <c r="K8" s="434" t="e">
        <f aca="false">S4&amp;".1"</f>
        <v>#N/A</v>
      </c>
      <c r="L8" s="419"/>
      <c r="P8" s="125"/>
      <c r="Q8" s="125"/>
      <c r="R8" s="545" t="n">
        <v>1</v>
      </c>
      <c r="S8" s="480" t="e">
        <f aca="false">$K8</f>
        <v>#N/A</v>
      </c>
      <c r="T8" s="582"/>
      <c r="U8" s="424"/>
      <c r="V8" s="441"/>
      <c r="W8" s="443"/>
      <c r="X8" s="441"/>
      <c r="Y8" s="443"/>
      <c r="Z8" s="444"/>
      <c r="AA8" s="206" t="s">
        <v>64</v>
      </c>
      <c r="AB8" s="444"/>
      <c r="AC8" s="206" t="s">
        <v>64</v>
      </c>
      <c r="AD8" s="206" t="s">
        <v>64</v>
      </c>
      <c r="AE8" s="547"/>
      <c r="AF8" s="295" t="n">
        <v>1</v>
      </c>
      <c r="AG8" s="595"/>
      <c r="AH8" s="206" t="s">
        <v>64</v>
      </c>
      <c r="AI8" s="547"/>
      <c r="AJ8" s="295" t="n">
        <v>1</v>
      </c>
      <c r="AK8" s="78"/>
      <c r="AL8" s="206" t="s">
        <v>64</v>
      </c>
      <c r="AM8" s="505"/>
      <c r="AN8" s="295" t="n">
        <v>1</v>
      </c>
      <c r="AO8" s="604"/>
      <c r="AP8" s="605" t="s">
        <v>64</v>
      </c>
      <c r="AQ8" s="548"/>
      <c r="AR8" s="295" t="n">
        <v>1</v>
      </c>
      <c r="AS8" s="87"/>
      <c r="AT8" s="441"/>
      <c r="AU8" s="443"/>
      <c r="AV8" s="441"/>
      <c r="AW8" s="443"/>
      <c r="AX8" s="444"/>
      <c r="AY8" s="206" t="s">
        <v>64</v>
      </c>
      <c r="AZ8" s="444"/>
      <c r="BA8" s="206" t="s">
        <v>64</v>
      </c>
      <c r="BB8" s="493"/>
      <c r="BC8" s="445" t="s">
        <v>498</v>
      </c>
      <c r="BE8" s="122"/>
      <c r="BF8" s="122" t="str">
        <f aca="false">IF(T8="","",T8)</f>
        <v/>
      </c>
      <c r="BG8" s="122"/>
      <c r="BH8" s="122"/>
      <c r="BI8" s="42" t="n">
        <v>0</v>
      </c>
    </row>
    <row r="9" customFormat="false" ht="11.25" hidden="true" customHeight="true" outlineLevel="0" collapsed="false">
      <c r="A9" s="417"/>
      <c r="B9" s="417"/>
      <c r="C9" s="417"/>
      <c r="D9" s="417"/>
      <c r="E9" s="418"/>
      <c r="F9" s="418"/>
      <c r="G9" s="418"/>
      <c r="H9" s="418"/>
      <c r="I9" s="434"/>
      <c r="J9" s="434"/>
      <c r="K9" s="434"/>
      <c r="L9" s="419"/>
      <c r="P9" s="125"/>
      <c r="Q9" s="125"/>
      <c r="R9" s="545"/>
      <c r="S9" s="480"/>
      <c r="T9" s="582"/>
      <c r="U9" s="424"/>
      <c r="V9" s="537"/>
      <c r="W9" s="551"/>
      <c r="X9" s="537"/>
      <c r="Y9" s="551"/>
      <c r="Z9" s="537"/>
      <c r="AA9" s="537"/>
      <c r="AB9" s="537"/>
      <c r="AC9" s="537"/>
      <c r="AD9" s="206"/>
      <c r="AE9" s="547"/>
      <c r="AF9" s="295"/>
      <c r="AG9" s="595"/>
      <c r="AH9" s="206"/>
      <c r="AI9" s="547"/>
      <c r="AJ9" s="295"/>
      <c r="AK9" s="78"/>
      <c r="AL9" s="206"/>
      <c r="AM9" s="505"/>
      <c r="AN9" s="295"/>
      <c r="AO9" s="604"/>
      <c r="AP9" s="605"/>
      <c r="AQ9" s="550"/>
      <c r="AR9" s="170"/>
      <c r="AS9" s="170" t="s">
        <v>499</v>
      </c>
      <c r="AT9" s="537"/>
      <c r="AU9" s="551"/>
      <c r="AV9" s="537"/>
      <c r="AW9" s="551"/>
      <c r="AX9" s="537"/>
      <c r="AY9" s="537"/>
      <c r="AZ9" s="537"/>
      <c r="BA9" s="537"/>
      <c r="BB9" s="549"/>
      <c r="BC9" s="445"/>
      <c r="BE9" s="122"/>
      <c r="BF9" s="122"/>
      <c r="BG9" s="122"/>
      <c r="BH9" s="122"/>
      <c r="BI9" s="42" t="n">
        <v>0</v>
      </c>
    </row>
    <row r="10" customFormat="false" ht="11.25" hidden="true" customHeight="true" outlineLevel="0" collapsed="false">
      <c r="A10" s="417"/>
      <c r="B10" s="417"/>
      <c r="C10" s="417"/>
      <c r="D10" s="417"/>
      <c r="E10" s="418"/>
      <c r="F10" s="418"/>
      <c r="G10" s="418"/>
      <c r="H10" s="418"/>
      <c r="I10" s="434"/>
      <c r="J10" s="434"/>
      <c r="K10" s="434"/>
      <c r="L10" s="419"/>
      <c r="P10" s="125"/>
      <c r="Q10" s="125"/>
      <c r="R10" s="545"/>
      <c r="S10" s="480"/>
      <c r="T10" s="582"/>
      <c r="U10" s="424"/>
      <c r="V10" s="537"/>
      <c r="W10" s="551"/>
      <c r="X10" s="537"/>
      <c r="Y10" s="551"/>
      <c r="Z10" s="537"/>
      <c r="AA10" s="537"/>
      <c r="AB10" s="537"/>
      <c r="AC10" s="537"/>
      <c r="AD10" s="206"/>
      <c r="AE10" s="547"/>
      <c r="AF10" s="295"/>
      <c r="AG10" s="595"/>
      <c r="AH10" s="206"/>
      <c r="AI10" s="547"/>
      <c r="AJ10" s="295"/>
      <c r="AK10" s="78"/>
      <c r="AL10" s="206"/>
      <c r="AM10" s="550"/>
      <c r="AN10" s="606"/>
      <c r="AO10" s="606" t="s">
        <v>500</v>
      </c>
      <c r="AP10" s="170"/>
      <c r="AQ10" s="170"/>
      <c r="AR10" s="170"/>
      <c r="AS10" s="537"/>
      <c r="AT10" s="537"/>
      <c r="AU10" s="551"/>
      <c r="AV10" s="537"/>
      <c r="AW10" s="551"/>
      <c r="AX10" s="537"/>
      <c r="AY10" s="537"/>
      <c r="AZ10" s="537"/>
      <c r="BA10" s="537"/>
      <c r="BB10" s="549"/>
      <c r="BC10" s="445"/>
      <c r="BE10" s="122"/>
      <c r="BF10" s="122"/>
      <c r="BG10" s="122"/>
      <c r="BH10" s="122"/>
      <c r="BI10" s="42" t="n">
        <v>0</v>
      </c>
    </row>
    <row r="11" customFormat="false" ht="11.25" hidden="true" customHeight="true" outlineLevel="0" collapsed="false">
      <c r="A11" s="417"/>
      <c r="B11" s="417"/>
      <c r="C11" s="417"/>
      <c r="D11" s="417"/>
      <c r="E11" s="418"/>
      <c r="F11" s="418"/>
      <c r="G11" s="418"/>
      <c r="H11" s="418"/>
      <c r="I11" s="434"/>
      <c r="J11" s="434"/>
      <c r="K11" s="434"/>
      <c r="L11" s="419"/>
      <c r="P11" s="125"/>
      <c r="Q11" s="125"/>
      <c r="R11" s="545"/>
      <c r="S11" s="480"/>
      <c r="T11" s="582"/>
      <c r="U11" s="424"/>
      <c r="V11" s="537"/>
      <c r="W11" s="551"/>
      <c r="X11" s="537"/>
      <c r="Y11" s="551"/>
      <c r="Z11" s="537"/>
      <c r="AA11" s="537"/>
      <c r="AB11" s="537"/>
      <c r="AC11" s="537"/>
      <c r="AD11" s="206"/>
      <c r="AE11" s="547"/>
      <c r="AF11" s="295"/>
      <c r="AG11" s="595"/>
      <c r="AH11" s="206"/>
      <c r="AI11" s="553"/>
      <c r="AJ11" s="165"/>
      <c r="AK11" s="382" t="s">
        <v>501</v>
      </c>
      <c r="AL11" s="537"/>
      <c r="AM11" s="537"/>
      <c r="AN11" s="537"/>
      <c r="AO11" s="537"/>
      <c r="AP11" s="537"/>
      <c r="AQ11" s="537"/>
      <c r="AR11" s="537"/>
      <c r="AS11" s="537"/>
      <c r="AT11" s="537"/>
      <c r="AU11" s="551"/>
      <c r="AV11" s="537"/>
      <c r="AW11" s="551"/>
      <c r="AX11" s="537"/>
      <c r="AY11" s="537"/>
      <c r="AZ11" s="537"/>
      <c r="BA11" s="537"/>
      <c r="BB11" s="549"/>
      <c r="BC11" s="445"/>
      <c r="BE11" s="122"/>
      <c r="BF11" s="122"/>
      <c r="BG11" s="122"/>
      <c r="BH11" s="122"/>
      <c r="BI11" s="42" t="n">
        <v>0</v>
      </c>
    </row>
    <row r="12" customFormat="false" ht="11.25" hidden="true" customHeight="true" outlineLevel="0" collapsed="false">
      <c r="A12" s="417"/>
      <c r="B12" s="417"/>
      <c r="C12" s="417"/>
      <c r="D12" s="417"/>
      <c r="E12" s="418"/>
      <c r="F12" s="418"/>
      <c r="G12" s="418"/>
      <c r="H12" s="418"/>
      <c r="I12" s="434"/>
      <c r="J12" s="434"/>
      <c r="K12" s="434"/>
      <c r="L12" s="419"/>
      <c r="P12" s="125"/>
      <c r="Q12" s="125"/>
      <c r="R12" s="545"/>
      <c r="S12" s="480"/>
      <c r="T12" s="582"/>
      <c r="U12" s="424"/>
      <c r="V12" s="537"/>
      <c r="W12" s="538" t="str">
        <f aca="false">Z8&amp;"-"&amp;AB8</f>
        <v>-</v>
      </c>
      <c r="X12" s="537"/>
      <c r="Y12" s="538" t="str">
        <f aca="false">AB8&amp;"-"&amp;AD8</f>
        <v>-да</v>
      </c>
      <c r="Z12" s="537"/>
      <c r="AA12" s="537"/>
      <c r="AB12" s="537"/>
      <c r="AC12" s="537"/>
      <c r="AD12" s="206"/>
      <c r="AE12" s="555"/>
      <c r="AF12" s="556"/>
      <c r="AG12" s="170" t="s">
        <v>502</v>
      </c>
      <c r="AH12" s="537"/>
      <c r="AI12" s="537"/>
      <c r="AJ12" s="537"/>
      <c r="AK12" s="537"/>
      <c r="AL12" s="537"/>
      <c r="AM12" s="537"/>
      <c r="AN12" s="537"/>
      <c r="AO12" s="537"/>
      <c r="AP12" s="537"/>
      <c r="AQ12" s="537"/>
      <c r="AR12" s="537"/>
      <c r="AS12" s="537"/>
      <c r="AT12" s="537"/>
      <c r="AU12" s="538" t="str">
        <f aca="false">AX8&amp;"-"&amp;AZ8</f>
        <v>-</v>
      </c>
      <c r="AV12" s="537"/>
      <c r="AW12" s="538" t="str">
        <f aca="false">AZ8&amp;"-"&amp;BB8</f>
        <v>-</v>
      </c>
      <c r="AX12" s="537"/>
      <c r="AY12" s="537"/>
      <c r="AZ12" s="537"/>
      <c r="BA12" s="537"/>
      <c r="BB12" s="554" t="str">
        <f aca="false">BE8&amp;"-"&amp;BG8</f>
        <v>-</v>
      </c>
      <c r="BC12" s="445"/>
      <c r="BE12" s="122"/>
      <c r="BF12" s="122" t="str">
        <f aca="false">IF(T12="","",T12)</f>
        <v/>
      </c>
      <c r="BG12" s="122"/>
      <c r="BH12" s="122"/>
      <c r="BI12" s="42" t="n">
        <v>0</v>
      </c>
    </row>
    <row r="13" customFormat="false" ht="11.25" hidden="true" customHeight="true" outlineLevel="0" collapsed="false">
      <c r="A13" s="417"/>
      <c r="B13" s="417"/>
      <c r="C13" s="417"/>
      <c r="D13" s="417"/>
      <c r="E13" s="418"/>
      <c r="F13" s="418"/>
      <c r="G13" s="418"/>
      <c r="H13" s="418"/>
      <c r="I13" s="434"/>
      <c r="J13" s="434"/>
      <c r="K13" s="417"/>
      <c r="L13" s="419"/>
      <c r="P13" s="125"/>
      <c r="Q13" s="125"/>
      <c r="R13" s="435"/>
      <c r="S13" s="447"/>
      <c r="T13" s="450" t="s">
        <v>465</v>
      </c>
      <c r="U13" s="196"/>
      <c r="V13" s="196"/>
      <c r="W13" s="196"/>
      <c r="X13" s="196"/>
      <c r="Y13" s="196"/>
      <c r="Z13" s="196"/>
      <c r="AA13" s="196"/>
      <c r="AB13" s="196"/>
      <c r="AC13" s="196"/>
      <c r="AD13" s="578"/>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449"/>
      <c r="BC13" s="445"/>
      <c r="BE13" s="122"/>
      <c r="BF13" s="122" t="str">
        <f aca="false">IF(T13="","",T13)</f>
        <v>Добавить строку</v>
      </c>
      <c r="BG13" s="122"/>
      <c r="BH13" s="122"/>
      <c r="BI13" s="42" t="n">
        <v>0</v>
      </c>
    </row>
    <row r="14" s="49" customFormat="true" ht="14.25" hidden="true" customHeight="true" outlineLevel="0" collapsed="false">
      <c r="A14" s="126"/>
      <c r="B14" s="126"/>
      <c r="C14" s="126"/>
      <c r="D14" s="126"/>
      <c r="E14" s="418"/>
      <c r="F14" s="418"/>
      <c r="G14" s="418"/>
      <c r="H14" s="418"/>
      <c r="I14" s="434"/>
      <c r="J14" s="126"/>
      <c r="K14" s="126"/>
      <c r="L14" s="194"/>
      <c r="M14" s="515"/>
      <c r="N14" s="515"/>
      <c r="O14" s="515"/>
      <c r="P14" s="125"/>
      <c r="Q14" s="125"/>
      <c r="R14" s="435"/>
      <c r="S14" s="511"/>
      <c r="T14" s="512"/>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4"/>
      <c r="BE14" s="122"/>
      <c r="BF14" s="122" t="str">
        <f aca="false">IF(T14="","",T14)</f>
        <v/>
      </c>
      <c r="BG14" s="122"/>
      <c r="BH14" s="122"/>
      <c r="BI14" s="49" t="n">
        <v>0</v>
      </c>
    </row>
    <row r="15" s="49" customFormat="true" ht="14.25" hidden="true" customHeight="true" outlineLevel="0" collapsed="false">
      <c r="A15" s="126"/>
      <c r="B15" s="126"/>
      <c r="C15" s="126"/>
      <c r="D15" s="126"/>
      <c r="E15" s="418"/>
      <c r="F15" s="418"/>
      <c r="G15" s="418"/>
      <c r="H15" s="418"/>
      <c r="I15" s="126"/>
      <c r="J15" s="126"/>
      <c r="K15" s="126"/>
      <c r="L15" s="194"/>
      <c r="M15" s="402"/>
      <c r="N15" s="402"/>
      <c r="P15" s="160"/>
      <c r="Q15" s="455"/>
      <c r="R15" s="557"/>
      <c r="S15" s="511"/>
      <c r="T15" s="512"/>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4"/>
      <c r="BE15" s="122"/>
      <c r="BF15" s="122" t="str">
        <f aca="false">IF(T15="","",T15)</f>
        <v/>
      </c>
      <c r="BG15" s="122"/>
      <c r="BH15" s="122"/>
      <c r="BI15" s="49" t="n">
        <v>0</v>
      </c>
    </row>
    <row r="16" s="49" customFormat="true" ht="14.25" hidden="true" customHeight="true" outlineLevel="0" collapsed="false">
      <c r="A16" s="126"/>
      <c r="B16" s="126"/>
      <c r="C16" s="126"/>
      <c r="D16" s="126"/>
      <c r="E16" s="418"/>
      <c r="F16" s="418"/>
      <c r="G16" s="418"/>
      <c r="H16" s="126"/>
      <c r="I16" s="126"/>
      <c r="J16" s="126"/>
      <c r="K16" s="126"/>
      <c r="L16" s="194"/>
      <c r="M16" s="402"/>
      <c r="N16" s="402"/>
      <c r="P16" s="160"/>
      <c r="Q16" s="455"/>
      <c r="R16" s="160"/>
      <c r="S16" s="460"/>
      <c r="T16" s="463"/>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2"/>
      <c r="AY16" s="462"/>
      <c r="AZ16" s="462"/>
      <c r="BA16" s="462"/>
      <c r="BB16" s="462"/>
      <c r="BC16" s="462"/>
      <c r="BE16" s="122"/>
      <c r="BF16" s="122" t="str">
        <f aca="false">IF(T16="","",T16)</f>
        <v/>
      </c>
      <c r="BG16" s="122"/>
      <c r="BH16" s="122"/>
      <c r="BI16" s="49" t="n">
        <v>0</v>
      </c>
    </row>
    <row r="17" s="49" customFormat="true" ht="14.25" hidden="true" customHeight="true" outlineLevel="0" collapsed="false">
      <c r="A17" s="126"/>
      <c r="B17" s="126"/>
      <c r="C17" s="126"/>
      <c r="D17" s="126"/>
      <c r="E17" s="418"/>
      <c r="F17" s="418"/>
      <c r="G17" s="126"/>
      <c r="H17" s="126"/>
      <c r="I17" s="126"/>
      <c r="J17" s="126"/>
      <c r="K17" s="126"/>
      <c r="L17" s="194"/>
      <c r="M17" s="459"/>
      <c r="N17" s="459"/>
      <c r="P17" s="160"/>
      <c r="Q17" s="455"/>
      <c r="R17" s="160"/>
      <c r="S17" s="460"/>
      <c r="T17" s="463" t="s">
        <v>412</v>
      </c>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c r="AX17" s="462"/>
      <c r="AY17" s="462"/>
      <c r="AZ17" s="462"/>
      <c r="BA17" s="462"/>
      <c r="BB17" s="462"/>
      <c r="BC17" s="462"/>
      <c r="BE17" s="122"/>
      <c r="BF17" s="122" t="str">
        <f aca="false">IF(T17="","",T17)</f>
        <v>Добавить централизованную систему для дифференциации</v>
      </c>
      <c r="BG17" s="122"/>
      <c r="BH17" s="122"/>
      <c r="BI17" s="49" t="n">
        <v>0</v>
      </c>
    </row>
    <row r="18" s="49" customFormat="true" ht="14.25" hidden="true" customHeight="true" outlineLevel="0" collapsed="false">
      <c r="A18" s="126"/>
      <c r="B18" s="126"/>
      <c r="C18" s="126"/>
      <c r="D18" s="126"/>
      <c r="E18" s="418"/>
      <c r="F18" s="126"/>
      <c r="G18" s="126"/>
      <c r="H18" s="126"/>
      <c r="I18" s="126"/>
      <c r="J18" s="126"/>
      <c r="K18" s="126"/>
      <c r="L18" s="194"/>
      <c r="M18" s="459"/>
      <c r="N18" s="459"/>
      <c r="P18" s="160"/>
      <c r="Q18" s="455"/>
      <c r="R18" s="160"/>
      <c r="S18" s="460"/>
      <c r="T18" s="463" t="s">
        <v>413</v>
      </c>
      <c r="U18" s="462"/>
      <c r="V18" s="462"/>
      <c r="W18" s="462"/>
      <c r="X18" s="462"/>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E18" s="122"/>
      <c r="BF18" s="122" t="str">
        <f aca="false">IF(T18="","",T18)</f>
        <v>Добавить территорию для дифференциации</v>
      </c>
      <c r="BG18" s="122"/>
      <c r="BH18" s="122"/>
      <c r="BI18" s="49" t="n">
        <v>0</v>
      </c>
    </row>
    <row r="19" customFormat="false" ht="14.25" hidden="true" customHeight="true" outlineLevel="0" collapsed="false">
      <c r="BI19" s="42" t="n">
        <v>0</v>
      </c>
    </row>
    <row r="20" customFormat="false" ht="14.25" hidden="true" customHeight="true" outlineLevel="0" collapsed="false">
      <c r="AD20" s="462" t="s">
        <v>19</v>
      </c>
      <c r="AE20" s="558"/>
      <c r="AF20" s="462" t="n">
        <v>1</v>
      </c>
      <c r="AG20" s="559"/>
      <c r="AH20" s="462" t="s">
        <v>19</v>
      </c>
      <c r="AI20" s="558"/>
      <c r="AJ20" s="462" t="n">
        <v>1</v>
      </c>
      <c r="AK20" s="559"/>
      <c r="AL20" s="462" t="s">
        <v>19</v>
      </c>
      <c r="AM20" s="560"/>
      <c r="AN20" s="462" t="n">
        <v>1</v>
      </c>
      <c r="AO20" s="127"/>
      <c r="AP20" s="462" t="s">
        <v>19</v>
      </c>
      <c r="AQ20" s="560"/>
      <c r="AR20" s="462" t="n">
        <v>1</v>
      </c>
      <c r="AS20" s="127"/>
      <c r="AT20" s="442"/>
      <c r="AU20" s="504"/>
      <c r="AV20" s="442"/>
      <c r="AW20" s="504"/>
      <c r="AX20" s="564"/>
      <c r="AY20" s="565" t="s">
        <v>64</v>
      </c>
      <c r="AZ20" s="564"/>
      <c r="BA20" s="565" t="s">
        <v>64</v>
      </c>
      <c r="BI20" s="42" t="n">
        <v>0</v>
      </c>
    </row>
    <row r="21" customFormat="false" ht="14.25" hidden="true" customHeight="true" outlineLevel="0" collapsed="false">
      <c r="BD21" s="124"/>
      <c r="BE21" s="124"/>
      <c r="BF21" s="124"/>
      <c r="BG21" s="124"/>
      <c r="BH21" s="124"/>
      <c r="BI21" s="42" t="n">
        <v>0</v>
      </c>
    </row>
    <row r="22" customFormat="false" ht="14.25" hidden="true" customHeight="true" outlineLevel="0" collapsed="false">
      <c r="O22" s="468" t="s">
        <v>414</v>
      </c>
      <c r="Z22" s="502"/>
      <c r="AB22" s="502"/>
      <c r="AX22" s="502"/>
      <c r="AZ22" s="502"/>
      <c r="BD22" s="124"/>
      <c r="BE22" s="124"/>
      <c r="BF22" s="124"/>
      <c r="BG22" s="124"/>
      <c r="BH22" s="124"/>
      <c r="BI22" s="42" t="n">
        <v>0</v>
      </c>
    </row>
    <row r="23" customFormat="false" ht="14.25" hidden="true" customHeight="true" outlineLevel="0" collapsed="false">
      <c r="BD23" s="124"/>
      <c r="BE23" s="124"/>
      <c r="BF23" s="124"/>
      <c r="BG23" s="124"/>
      <c r="BH23" s="124"/>
      <c r="BI23" s="42" t="n">
        <v>0</v>
      </c>
    </row>
    <row r="24" s="566" customFormat="true" ht="14.25" hidden="true" customHeight="true" outlineLevel="0" collapsed="false">
      <c r="M24" s="567"/>
      <c r="N24" s="567"/>
      <c r="O24" s="566" t="s">
        <v>415</v>
      </c>
      <c r="P24" s="567"/>
      <c r="Q24" s="568"/>
      <c r="R24" s="568"/>
      <c r="AA24" s="566" t="s">
        <v>417</v>
      </c>
      <c r="AC24" s="566" t="s">
        <v>418</v>
      </c>
      <c r="AD24" s="566" t="s">
        <v>466</v>
      </c>
      <c r="AH24" s="566" t="s">
        <v>466</v>
      </c>
      <c r="AK24" s="566" t="s">
        <v>503</v>
      </c>
      <c r="AL24" s="566" t="s">
        <v>466</v>
      </c>
      <c r="AP24" s="566" t="s">
        <v>466</v>
      </c>
      <c r="AY24" s="566" t="s">
        <v>417</v>
      </c>
      <c r="BA24" s="566" t="s">
        <v>418</v>
      </c>
      <c r="BD24" s="569"/>
      <c r="BE24" s="569"/>
      <c r="BF24" s="569"/>
      <c r="BG24" s="569"/>
      <c r="BH24" s="569"/>
      <c r="BI24" s="566" t="n">
        <v>0</v>
      </c>
    </row>
    <row r="25" customFormat="false" ht="14.25" hidden="true" customHeight="true" outlineLevel="0" collapsed="false">
      <c r="O25" s="419"/>
      <c r="BD25" s="124"/>
      <c r="BE25" s="124"/>
      <c r="BF25" s="124"/>
      <c r="BG25" s="124"/>
      <c r="BH25" s="124"/>
      <c r="BI25" s="42" t="n">
        <v>0</v>
      </c>
    </row>
    <row r="26" customFormat="false" ht="14.25" hidden="true" customHeight="true" outlineLevel="0" collapsed="false">
      <c r="O26" s="419"/>
      <c r="BD26" s="124"/>
      <c r="BE26" s="124"/>
      <c r="BF26" s="124"/>
      <c r="BG26" s="124"/>
      <c r="BH26" s="124"/>
      <c r="BI26" s="42" t="n">
        <v>0</v>
      </c>
    </row>
    <row r="27" customFormat="false" ht="14.25" hidden="false" customHeight="true" outlineLevel="0" collapsed="false">
      <c r="Q27" s="570"/>
      <c r="R27" s="470"/>
      <c r="S27" s="471"/>
      <c r="T27" s="83"/>
      <c r="U27" s="83"/>
      <c r="BI27" s="42" t="n">
        <v>14</v>
      </c>
    </row>
    <row r="28" customFormat="false" ht="14.25" hidden="false" customHeight="true" outlineLevel="0" collapsed="false">
      <c r="Q28" s="570"/>
      <c r="R28" s="470"/>
      <c r="S28" s="215" t="str">
        <f aca="false">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7"/>
      <c r="BI28" s="42" t="n">
        <v>14</v>
      </c>
    </row>
    <row r="29" customFormat="false" ht="14.25" hidden="false" customHeight="true" outlineLevel="0" collapsed="false">
      <c r="Q29" s="570"/>
      <c r="R29" s="470"/>
      <c r="S29" s="259" t="str">
        <f aca="false">IF(org=0,"Не определено",org)</f>
        <v>Филиал ПАО "ОГК-2" - Серовская ГРЭС, г. Серов</v>
      </c>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17"/>
      <c r="BI29" s="42" t="n">
        <v>14</v>
      </c>
    </row>
    <row r="30" customFormat="false" ht="14.25" hidden="true" customHeight="true" outlineLevel="0" collapsed="false">
      <c r="Q30" s="570"/>
      <c r="R30" s="470"/>
      <c r="S30" s="471"/>
      <c r="T30" s="83"/>
      <c r="U30" s="83"/>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472"/>
      <c r="AY30" s="472"/>
      <c r="AZ30" s="472"/>
      <c r="BA30" s="472"/>
      <c r="BI30" s="42" t="n">
        <v>0</v>
      </c>
    </row>
    <row r="31" s="177" customFormat="true" ht="25.5" hidden="true" customHeight="true" outlineLevel="0" collapsed="false">
      <c r="A31" s="144"/>
      <c r="B31" s="144"/>
      <c r="C31" s="144"/>
      <c r="D31" s="144"/>
      <c r="E31" s="144"/>
      <c r="F31" s="144"/>
      <c r="G31" s="144"/>
      <c r="H31" s="144"/>
      <c r="I31" s="144"/>
      <c r="J31" s="144"/>
      <c r="K31" s="144"/>
      <c r="L31" s="419"/>
      <c r="M31" s="144"/>
      <c r="N31" s="144"/>
      <c r="O31" s="144"/>
      <c r="P31" s="144"/>
      <c r="Q31" s="144"/>
      <c r="S31" s="473" t="s">
        <v>41</v>
      </c>
      <c r="T31" s="473"/>
      <c r="U31" s="474"/>
      <c r="V31" s="475" t="str">
        <f aca="false">IF(TITLE_NAME_OR_PR_CHANGE="",IF(TITLE_NAME_OR_PR="","",TITLE_NAME_OR_PR),TITLE_NAME_OR_PR_CHANGE)</f>
        <v/>
      </c>
      <c r="W31" s="475"/>
      <c r="X31" s="475"/>
      <c r="Y31" s="475"/>
      <c r="Z31" s="475"/>
      <c r="AA31" s="475"/>
      <c r="AB31" s="475"/>
      <c r="AC31" s="42"/>
      <c r="AD31" s="475" t="str">
        <f aca="false">IF(TITLE_NAME_OR_PR_CHANGE="",IF(TITLE_NAME_OR_PR="","",TITLE_NAME_OR_PR),TITLE_NAME_OR_PR_CHANGE)</f>
        <v/>
      </c>
      <c r="AE31" s="475"/>
      <c r="AF31" s="475"/>
      <c r="AG31" s="475"/>
      <c r="AH31" s="475"/>
      <c r="AI31" s="475"/>
      <c r="AJ31" s="475"/>
      <c r="AK31" s="475"/>
      <c r="AL31" s="475"/>
      <c r="AM31" s="475"/>
      <c r="AN31" s="475"/>
      <c r="AO31" s="475"/>
      <c r="AP31" s="475"/>
      <c r="AQ31" s="475"/>
      <c r="AR31" s="475"/>
      <c r="AS31" s="475"/>
      <c r="AT31" s="475"/>
      <c r="AU31" s="475"/>
      <c r="AV31" s="475"/>
      <c r="AW31" s="475"/>
      <c r="AX31" s="475"/>
      <c r="AY31" s="475"/>
      <c r="AZ31" s="475"/>
      <c r="BA31" s="42"/>
      <c r="BB31" s="42"/>
      <c r="BC31" s="476"/>
      <c r="BD31" s="122"/>
      <c r="BE31" s="122"/>
      <c r="BF31" s="122"/>
      <c r="BG31" s="122"/>
      <c r="BH31" s="122"/>
      <c r="BI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P32" s="144"/>
      <c r="Q32" s="144"/>
      <c r="S32" s="473" t="s">
        <v>420</v>
      </c>
      <c r="T32" s="473"/>
      <c r="U32" s="474"/>
      <c r="V32" s="477" t="str">
        <f aca="false">IF(TITLE_DATE_PR_CHANGE="",IF(TITLE_DATE_PR="","",TITLE_DATE_PR),TITLE_DATE_PR_CHANGE)</f>
        <v/>
      </c>
      <c r="W32" s="477"/>
      <c r="X32" s="477"/>
      <c r="Y32" s="477"/>
      <c r="Z32" s="477"/>
      <c r="AA32" s="477"/>
      <c r="AB32" s="477"/>
      <c r="AC32" s="42"/>
      <c r="AD32" s="477" t="str">
        <f aca="false">IF(TITLE_DATE_PR_CHANGE="",IF(TITLE_DATE_PR="","",TITLE_DATE_PR),TITLE_DATE_PR_CHANGE)</f>
        <v/>
      </c>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2"/>
      <c r="BB32" s="42"/>
      <c r="BC32" s="476"/>
      <c r="BD32" s="122"/>
      <c r="BE32" s="122"/>
      <c r="BF32" s="122"/>
      <c r="BG32" s="122"/>
      <c r="BH32" s="122"/>
      <c r="BI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P33" s="144"/>
      <c r="Q33" s="144"/>
      <c r="S33" s="473" t="s">
        <v>421</v>
      </c>
      <c r="T33" s="473"/>
      <c r="U33" s="474"/>
      <c r="V33" s="475" t="str">
        <f aca="false">IF(TITLE_NUMBER_PR_CHANGE="",IF(TITLE_NUMBER_PR="","",TITLE_NUMBER_PR),TITLE_NUMBER_PR_CHANGE)</f>
        <v/>
      </c>
      <c r="W33" s="475"/>
      <c r="X33" s="475"/>
      <c r="Y33" s="475"/>
      <c r="Z33" s="475"/>
      <c r="AA33" s="475"/>
      <c r="AB33" s="475"/>
      <c r="AC33" s="42"/>
      <c r="AD33" s="475" t="str">
        <f aca="false">IF(TITLE_NUMBER_PR_CHANGE="",IF(TITLE_NUMBER_PR="","",TITLE_NUMBER_PR),TITLE_NUMBER_PR_CHANGE)</f>
        <v/>
      </c>
      <c r="AE33" s="475"/>
      <c r="AF33" s="475"/>
      <c r="AG33" s="475"/>
      <c r="AH33" s="475"/>
      <c r="AI33" s="475"/>
      <c r="AJ33" s="475"/>
      <c r="AK33" s="475"/>
      <c r="AL33" s="475"/>
      <c r="AM33" s="475"/>
      <c r="AN33" s="475"/>
      <c r="AO33" s="475"/>
      <c r="AP33" s="475"/>
      <c r="AQ33" s="475"/>
      <c r="AR33" s="475"/>
      <c r="AS33" s="475"/>
      <c r="AT33" s="475"/>
      <c r="AU33" s="475"/>
      <c r="AV33" s="475"/>
      <c r="AW33" s="475"/>
      <c r="AX33" s="475"/>
      <c r="AY33" s="475"/>
      <c r="AZ33" s="475"/>
      <c r="BA33" s="42"/>
      <c r="BB33" s="42"/>
      <c r="BC33" s="476"/>
      <c r="BD33" s="122"/>
      <c r="BE33" s="122"/>
      <c r="BF33" s="122"/>
      <c r="BG33" s="122"/>
      <c r="BH33" s="122"/>
      <c r="BI33" s="177"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P34" s="144"/>
      <c r="Q34" s="144"/>
      <c r="S34" s="473" t="s">
        <v>42</v>
      </c>
      <c r="T34" s="473"/>
      <c r="U34" s="474"/>
      <c r="V34" s="475" t="str">
        <f aca="false">IF(TITLE_IST_PUB_CHANGE="",IF(TITLE_IST_PUB="","",TITLE_IST_PUB),TITLE_IST_PUB_CHANGE)</f>
        <v/>
      </c>
      <c r="W34" s="475"/>
      <c r="X34" s="475"/>
      <c r="Y34" s="475"/>
      <c r="Z34" s="475"/>
      <c r="AA34" s="475"/>
      <c r="AB34" s="475"/>
      <c r="AC34" s="42"/>
      <c r="AD34" s="475" t="str">
        <f aca="false">IF(TITLE_IST_PUB_CHANGE="",IF(TITLE_IST_PUB="","",TITLE_IST_PUB),TITLE_IST_PUB_CHANGE)</f>
        <v/>
      </c>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2"/>
      <c r="BB34" s="42"/>
      <c r="BC34" s="476"/>
      <c r="BD34" s="122"/>
      <c r="BE34" s="122"/>
      <c r="BF34" s="122"/>
      <c r="BG34" s="122"/>
      <c r="BH34" s="122"/>
      <c r="BI34" s="177" t="n">
        <v>0</v>
      </c>
    </row>
    <row r="35" customFormat="false" ht="14.25" hidden="true" customHeight="true" outlineLevel="0" collapsed="false">
      <c r="Q35" s="570"/>
      <c r="R35" s="470"/>
      <c r="S35" s="471"/>
      <c r="T35" s="83"/>
      <c r="U35" s="83"/>
      <c r="V35" s="472"/>
      <c r="W35" s="472"/>
      <c r="X35" s="472"/>
      <c r="Y35" s="472"/>
      <c r="Z35" s="472"/>
      <c r="AA35" s="472"/>
      <c r="AB35" s="472"/>
      <c r="AC35" s="472"/>
      <c r="AD35" s="472"/>
      <c r="AE35" s="472"/>
      <c r="AF35" s="472"/>
      <c r="AG35" s="472"/>
      <c r="AH35" s="472"/>
      <c r="AI35" s="472"/>
      <c r="AJ35" s="472"/>
      <c r="AK35" s="472"/>
      <c r="AL35" s="472"/>
      <c r="AM35" s="472"/>
      <c r="AN35" s="472"/>
      <c r="AO35" s="472"/>
      <c r="AP35" s="472"/>
      <c r="AQ35" s="472"/>
      <c r="AR35" s="472"/>
      <c r="AS35" s="472"/>
      <c r="AT35" s="472"/>
      <c r="AU35" s="472"/>
      <c r="AV35" s="472"/>
      <c r="AW35" s="472"/>
      <c r="AX35" s="472"/>
      <c r="AY35" s="472"/>
      <c r="AZ35" s="472"/>
      <c r="BA35" s="472"/>
      <c r="BI35" s="42" t="n">
        <v>0</v>
      </c>
    </row>
    <row r="36" s="177" customFormat="true" ht="18.75" hidden="true" customHeight="true" outlineLevel="0" collapsed="false">
      <c r="A36" s="144"/>
      <c r="B36" s="144"/>
      <c r="C36" s="144"/>
      <c r="D36" s="144"/>
      <c r="E36" s="144"/>
      <c r="F36" s="144"/>
      <c r="G36" s="144"/>
      <c r="H36" s="144"/>
      <c r="I36" s="144"/>
      <c r="J36" s="144"/>
      <c r="K36" s="144"/>
      <c r="L36" s="419"/>
      <c r="M36" s="144"/>
      <c r="N36" s="144"/>
      <c r="O36" s="144"/>
      <c r="P36" s="144"/>
      <c r="Q36" s="144"/>
      <c r="S36" s="473" t="s">
        <v>420</v>
      </c>
      <c r="T36" s="473"/>
      <c r="U36" s="474"/>
      <c r="V36" s="477" t="str">
        <f aca="false">IF(TITLE_DATE_PR_CHANGE="",IF(TITLE_DATE_PR="","",TITLE_DATE_PR),TITLE_DATE_PR_CHANGE)</f>
        <v/>
      </c>
      <c r="W36" s="477"/>
      <c r="X36" s="477"/>
      <c r="Y36" s="477"/>
      <c r="Z36" s="477"/>
      <c r="AA36" s="477"/>
      <c r="AB36" s="477"/>
      <c r="AC36" s="42"/>
      <c r="AD36" s="477" t="str">
        <f aca="false">IF(TITLE_DATE_PR_CHANGE="",IF(TITLE_DATE_PR="","",TITLE_DATE_PR),TITLE_DATE_PR_CHANGE)</f>
        <v/>
      </c>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2"/>
      <c r="BB36" s="42"/>
      <c r="BC36" s="476"/>
      <c r="BD36" s="122"/>
      <c r="BE36" s="122"/>
      <c r="BF36" s="122"/>
      <c r="BG36" s="122"/>
      <c r="BH36" s="122"/>
      <c r="BI36" s="177" t="n">
        <v>0</v>
      </c>
    </row>
    <row r="37" s="177" customFormat="true" ht="18.75" hidden="true" customHeight="true" outlineLevel="0" collapsed="false">
      <c r="A37" s="144"/>
      <c r="B37" s="144"/>
      <c r="C37" s="144"/>
      <c r="D37" s="144"/>
      <c r="E37" s="144"/>
      <c r="F37" s="144"/>
      <c r="G37" s="144"/>
      <c r="H37" s="144"/>
      <c r="I37" s="144"/>
      <c r="J37" s="144"/>
      <c r="K37" s="144"/>
      <c r="L37" s="419"/>
      <c r="M37" s="144"/>
      <c r="N37" s="144"/>
      <c r="O37" s="144"/>
      <c r="P37" s="144"/>
      <c r="Q37" s="144"/>
      <c r="S37" s="473" t="s">
        <v>421</v>
      </c>
      <c r="T37" s="473"/>
      <c r="U37" s="474"/>
      <c r="V37" s="475" t="str">
        <f aca="false">IF(TITLE_NUMBER_PR_CHANGE="",IF(TITLE_NUMBER_PR="","",TITLE_NUMBER_PR),TITLE_NUMBER_PR_CHANGE)</f>
        <v/>
      </c>
      <c r="W37" s="475"/>
      <c r="X37" s="475"/>
      <c r="Y37" s="475"/>
      <c r="Z37" s="475"/>
      <c r="AA37" s="475"/>
      <c r="AB37" s="475"/>
      <c r="AC37" s="42"/>
      <c r="AD37" s="475" t="str">
        <f aca="false">IF(TITLE_NUMBER_PR_CHANGE="",IF(TITLE_NUMBER_PR="","",TITLE_NUMBER_PR),TITLE_NUMBER_PR_CHANGE)</f>
        <v/>
      </c>
      <c r="AE37" s="475"/>
      <c r="AF37" s="475"/>
      <c r="AG37" s="475"/>
      <c r="AH37" s="475"/>
      <c r="AI37" s="475"/>
      <c r="AJ37" s="475"/>
      <c r="AK37" s="475"/>
      <c r="AL37" s="475"/>
      <c r="AM37" s="475"/>
      <c r="AN37" s="475"/>
      <c r="AO37" s="475"/>
      <c r="AP37" s="475"/>
      <c r="AQ37" s="475"/>
      <c r="AR37" s="475"/>
      <c r="AS37" s="475"/>
      <c r="AT37" s="475"/>
      <c r="AU37" s="475"/>
      <c r="AV37" s="475"/>
      <c r="AW37" s="475"/>
      <c r="AX37" s="475"/>
      <c r="AY37" s="475"/>
      <c r="AZ37" s="475"/>
      <c r="BA37" s="42"/>
      <c r="BB37" s="42"/>
      <c r="BC37" s="476"/>
      <c r="BD37" s="122"/>
      <c r="BE37" s="122"/>
      <c r="BF37" s="122"/>
      <c r="BG37" s="122"/>
      <c r="BH37" s="122"/>
      <c r="BI37" s="177" t="n">
        <v>0</v>
      </c>
    </row>
    <row r="38" s="177" customFormat="true" ht="14.35" hidden="false" customHeight="false" outlineLevel="0" collapsed="false">
      <c r="A38" s="144"/>
      <c r="B38" s="144"/>
      <c r="C38" s="144"/>
      <c r="D38" s="144"/>
      <c r="E38" s="144"/>
      <c r="F38" s="144"/>
      <c r="G38" s="144"/>
      <c r="H38" s="144"/>
      <c r="I38" s="144"/>
      <c r="J38" s="144"/>
      <c r="K38" s="144"/>
      <c r="L38" s="419"/>
      <c r="M38" s="144"/>
      <c r="N38" s="144"/>
      <c r="O38" s="144"/>
      <c r="P38" s="144"/>
      <c r="Q38" s="144"/>
      <c r="S38" s="42"/>
      <c r="T38" s="42"/>
      <c r="U38" s="132"/>
      <c r="V38" s="42"/>
      <c r="W38" s="42"/>
      <c r="X38" s="42"/>
      <c r="Y38" s="42"/>
      <c r="Z38" s="42"/>
      <c r="AA38" s="42"/>
      <c r="AB38" s="42"/>
      <c r="AC38" s="49" t="s">
        <v>424</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424</v>
      </c>
      <c r="BD38" s="122"/>
      <c r="BE38" s="122"/>
      <c r="BF38" s="122"/>
      <c r="BG38" s="122"/>
      <c r="BH38" s="122"/>
      <c r="BI38" s="177" t="n">
        <v>0</v>
      </c>
    </row>
    <row r="39" customFormat="false" ht="14.25" hidden="false" customHeight="true" outlineLevel="0" collapsed="false">
      <c r="Q39" s="570"/>
      <c r="R39" s="470"/>
      <c r="S39" s="471"/>
      <c r="T39" s="83"/>
      <c r="U39" s="478"/>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I39" s="42" t="n">
        <v>14</v>
      </c>
    </row>
    <row r="40" customFormat="false" ht="14.25" hidden="false" customHeight="true" outlineLevel="0" collapsed="false">
      <c r="Q40" s="570"/>
      <c r="R40" s="470"/>
      <c r="S40" s="138" t="s">
        <v>297</v>
      </c>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t="s">
        <v>298</v>
      </c>
      <c r="BI40" s="42" t="n">
        <v>14</v>
      </c>
    </row>
    <row r="41" customFormat="false" ht="14.25" hidden="false" customHeight="true" outlineLevel="0" collapsed="false">
      <c r="Q41" s="570"/>
      <c r="R41" s="470"/>
      <c r="S41" s="422" t="s">
        <v>86</v>
      </c>
      <c r="T41" s="395" t="s">
        <v>504</v>
      </c>
      <c r="U41" s="481"/>
      <c r="V41" s="294" t="s">
        <v>426</v>
      </c>
      <c r="W41" s="294"/>
      <c r="X41" s="294"/>
      <c r="Y41" s="294"/>
      <c r="Z41" s="294"/>
      <c r="AA41" s="294"/>
      <c r="AB41" s="294"/>
      <c r="AC41" s="395" t="s">
        <v>427</v>
      </c>
      <c r="AD41" s="294" t="s">
        <v>505</v>
      </c>
      <c r="AE41" s="294"/>
      <c r="AF41" s="294"/>
      <c r="AG41" s="294"/>
      <c r="AH41" s="294" t="s">
        <v>506</v>
      </c>
      <c r="AI41" s="294"/>
      <c r="AJ41" s="294"/>
      <c r="AK41" s="294"/>
      <c r="AL41" s="294" t="s">
        <v>507</v>
      </c>
      <c r="AM41" s="294"/>
      <c r="AN41" s="294"/>
      <c r="AO41" s="294"/>
      <c r="AP41" s="294" t="s">
        <v>508</v>
      </c>
      <c r="AQ41" s="294"/>
      <c r="AR41" s="294"/>
      <c r="AS41" s="294"/>
      <c r="AT41" s="294" t="s">
        <v>426</v>
      </c>
      <c r="AU41" s="294"/>
      <c r="AV41" s="294"/>
      <c r="AW41" s="294"/>
      <c r="AX41" s="294"/>
      <c r="AY41" s="294"/>
      <c r="AZ41" s="294"/>
      <c r="BA41" s="395" t="s">
        <v>427</v>
      </c>
      <c r="BB41" s="482" t="s">
        <v>429</v>
      </c>
      <c r="BC41" s="138"/>
      <c r="BI41" s="42" t="n">
        <v>14</v>
      </c>
    </row>
    <row r="42" customFormat="false" ht="35.25" hidden="false" customHeight="true" outlineLevel="0" collapsed="false">
      <c r="Q42" s="570"/>
      <c r="R42" s="470"/>
      <c r="S42" s="422"/>
      <c r="T42" s="395"/>
      <c r="U42" s="483"/>
      <c r="V42" s="484" t="s">
        <v>509</v>
      </c>
      <c r="W42" s="484"/>
      <c r="X42" s="484" t="s">
        <v>510</v>
      </c>
      <c r="Y42" s="484"/>
      <c r="Z42" s="138" t="s">
        <v>511</v>
      </c>
      <c r="AA42" s="138"/>
      <c r="AB42" s="138"/>
      <c r="AC42" s="395"/>
      <c r="AD42" s="294"/>
      <c r="AE42" s="294"/>
      <c r="AF42" s="294"/>
      <c r="AG42" s="294"/>
      <c r="AH42" s="294"/>
      <c r="AI42" s="294"/>
      <c r="AJ42" s="294"/>
      <c r="AK42" s="294"/>
      <c r="AL42" s="294"/>
      <c r="AM42" s="294"/>
      <c r="AN42" s="294"/>
      <c r="AO42" s="294"/>
      <c r="AP42" s="294"/>
      <c r="AQ42" s="294"/>
      <c r="AR42" s="294"/>
      <c r="AS42" s="294"/>
      <c r="AT42" s="484" t="s">
        <v>509</v>
      </c>
      <c r="AU42" s="484"/>
      <c r="AV42" s="484" t="s">
        <v>510</v>
      </c>
      <c r="AW42" s="484"/>
      <c r="AX42" s="138" t="s">
        <v>511</v>
      </c>
      <c r="AY42" s="138"/>
      <c r="AZ42" s="138"/>
      <c r="BA42" s="395"/>
      <c r="BB42" s="482"/>
      <c r="BC42" s="138"/>
      <c r="BI42" s="42" t="n">
        <v>34</v>
      </c>
    </row>
    <row r="43" customFormat="false" ht="14.25" hidden="false" customHeight="true" outlineLevel="0" collapsed="false">
      <c r="Q43" s="570"/>
      <c r="R43" s="470"/>
      <c r="S43" s="422"/>
      <c r="T43" s="395"/>
      <c r="U43" s="483"/>
      <c r="V43" s="484"/>
      <c r="W43" s="484"/>
      <c r="X43" s="484"/>
      <c r="Y43" s="484"/>
      <c r="Z43" s="138"/>
      <c r="AA43" s="138"/>
      <c r="AB43" s="138"/>
      <c r="AC43" s="395"/>
      <c r="AD43" s="294"/>
      <c r="AE43" s="294"/>
      <c r="AF43" s="294"/>
      <c r="AG43" s="294"/>
      <c r="AH43" s="294"/>
      <c r="AI43" s="294"/>
      <c r="AJ43" s="294"/>
      <c r="AK43" s="294"/>
      <c r="AL43" s="294"/>
      <c r="AM43" s="294"/>
      <c r="AN43" s="294"/>
      <c r="AO43" s="294"/>
      <c r="AP43" s="294"/>
      <c r="AQ43" s="294"/>
      <c r="AR43" s="294"/>
      <c r="AS43" s="294"/>
      <c r="AT43" s="484"/>
      <c r="AU43" s="484"/>
      <c r="AV43" s="484"/>
      <c r="AW43" s="484"/>
      <c r="AX43" s="138"/>
      <c r="AY43" s="138"/>
      <c r="AZ43" s="138"/>
      <c r="BA43" s="395"/>
      <c r="BB43" s="482"/>
      <c r="BC43" s="138"/>
      <c r="BI43" s="42" t="n">
        <v>14</v>
      </c>
    </row>
    <row r="44" customFormat="false" ht="14.25" hidden="false" customHeight="true" outlineLevel="0" collapsed="false">
      <c r="A44" s="144"/>
      <c r="B44" s="144" t="s">
        <v>134</v>
      </c>
      <c r="C44" s="144" t="s">
        <v>135</v>
      </c>
      <c r="D44" s="144" t="s">
        <v>136</v>
      </c>
      <c r="E44" s="419" t="s">
        <v>434</v>
      </c>
      <c r="F44" s="419" t="s">
        <v>435</v>
      </c>
      <c r="G44" s="419" t="s">
        <v>436</v>
      </c>
      <c r="H44" s="419" t="s">
        <v>437</v>
      </c>
      <c r="I44" s="419" t="s">
        <v>438</v>
      </c>
      <c r="J44" s="419" t="s">
        <v>439</v>
      </c>
      <c r="K44" s="419" t="s">
        <v>440</v>
      </c>
      <c r="L44" s="419" t="s">
        <v>415</v>
      </c>
      <c r="Q44" s="570"/>
      <c r="R44" s="470"/>
      <c r="S44" s="422"/>
      <c r="T44" s="395"/>
      <c r="U44" s="485"/>
      <c r="V44" s="395" t="s">
        <v>475</v>
      </c>
      <c r="W44" s="395" t="s">
        <v>476</v>
      </c>
      <c r="X44" s="395" t="s">
        <v>475</v>
      </c>
      <c r="Y44" s="395" t="s">
        <v>476</v>
      </c>
      <c r="Z44" s="220" t="s">
        <v>443</v>
      </c>
      <c r="AA44" s="220" t="s">
        <v>444</v>
      </c>
      <c r="AB44" s="220"/>
      <c r="AC44" s="395"/>
      <c r="AD44" s="294"/>
      <c r="AE44" s="294"/>
      <c r="AF44" s="294"/>
      <c r="AG44" s="294"/>
      <c r="AH44" s="294"/>
      <c r="AI44" s="294"/>
      <c r="AJ44" s="294"/>
      <c r="AK44" s="294"/>
      <c r="AL44" s="294"/>
      <c r="AM44" s="294"/>
      <c r="AN44" s="294"/>
      <c r="AO44" s="294"/>
      <c r="AP44" s="294"/>
      <c r="AQ44" s="294"/>
      <c r="AR44" s="294"/>
      <c r="AS44" s="294"/>
      <c r="AT44" s="395" t="s">
        <v>475</v>
      </c>
      <c r="AU44" s="395" t="s">
        <v>476</v>
      </c>
      <c r="AV44" s="395" t="s">
        <v>475</v>
      </c>
      <c r="AW44" s="395" t="s">
        <v>476</v>
      </c>
      <c r="AX44" s="220" t="s">
        <v>443</v>
      </c>
      <c r="AY44" s="220" t="s">
        <v>444</v>
      </c>
      <c r="AZ44" s="220"/>
      <c r="BA44" s="395"/>
      <c r="BB44" s="482"/>
      <c r="BC44" s="138"/>
      <c r="BI44" s="42" t="n">
        <v>14</v>
      </c>
    </row>
    <row r="45" s="124" customFormat="true" ht="11.25" hidden="true" customHeight="true" outlineLevel="0" collapsed="false">
      <c r="A45" s="144"/>
      <c r="B45" s="144"/>
      <c r="C45" s="144"/>
      <c r="D45" s="144"/>
      <c r="E45" s="144"/>
      <c r="F45" s="144"/>
      <c r="G45" s="144"/>
      <c r="H45" s="144"/>
      <c r="I45" s="144"/>
      <c r="J45" s="144"/>
      <c r="K45" s="144"/>
      <c r="L45" s="419"/>
      <c r="M45" s="53"/>
      <c r="N45" s="53"/>
      <c r="O45" s="53"/>
      <c r="P45" s="515"/>
      <c r="Q45" s="488"/>
      <c r="R45" s="488" t="n">
        <v>1</v>
      </c>
      <c r="S45" s="489" t="s">
        <v>107</v>
      </c>
      <c r="T45" s="490" t="s">
        <v>108</v>
      </c>
      <c r="U45" s="491" t="str">
        <f aca="true">OFFSET(U45,0,-1)</f>
        <v>2</v>
      </c>
      <c r="V45" s="492" t="n">
        <f aca="true">OFFSET(V45,0,-1)+1</f>
        <v>3</v>
      </c>
      <c r="W45" s="492" t="n">
        <f aca="true">OFFSET(W45,0,-1)+1</f>
        <v>4</v>
      </c>
      <c r="X45" s="492" t="n">
        <f aca="true">OFFSET(X45,0,-1)+1</f>
        <v>5</v>
      </c>
      <c r="Y45" s="492" t="n">
        <f aca="true">OFFSET(Y45,0,-1)+1</f>
        <v>6</v>
      </c>
      <c r="Z45" s="492" t="n">
        <f aca="true">OFFSET(Z45,0,-1)+1</f>
        <v>7</v>
      </c>
      <c r="AA45" s="492" t="n">
        <f aca="true">OFFSET(AA45,0,-1)+1</f>
        <v>8</v>
      </c>
      <c r="AB45" s="492"/>
      <c r="AC45" s="492" t="n">
        <f aca="true">OFFSET(AC45,0,-2)+1</f>
        <v>9</v>
      </c>
      <c r="AD45" s="492" t="n">
        <f aca="true">OFFSET(AD45,0,-1)+1</f>
        <v>10</v>
      </c>
      <c r="AE45" s="492"/>
      <c r="AF45" s="492"/>
      <c r="AG45" s="492"/>
      <c r="AH45" s="492"/>
      <c r="AI45" s="492"/>
      <c r="AJ45" s="492"/>
      <c r="AK45" s="492"/>
      <c r="AL45" s="492"/>
      <c r="AM45" s="492"/>
      <c r="AN45" s="492"/>
      <c r="AO45" s="492"/>
      <c r="AP45" s="492"/>
      <c r="AQ45" s="492"/>
      <c r="AR45" s="492"/>
      <c r="AS45" s="492"/>
      <c r="AT45" s="492"/>
      <c r="AU45" s="492"/>
      <c r="AV45" s="492"/>
      <c r="AW45" s="492" t="n">
        <f aca="true">OFFSET(AW45,0,-1)+1</f>
        <v>1</v>
      </c>
      <c r="AX45" s="492" t="n">
        <f aca="true">OFFSET(AX45,0,-1)+1</f>
        <v>2</v>
      </c>
      <c r="AY45" s="492" t="n">
        <f aca="true">OFFSET(AY45,0,-1)+1</f>
        <v>3</v>
      </c>
      <c r="AZ45" s="492"/>
      <c r="BA45" s="492" t="n">
        <f aca="true">OFFSET(BA45,0,-2)+1</f>
        <v>4</v>
      </c>
      <c r="BB45" s="491" t="n">
        <f aca="true">OFFSET(BB45,0,-1)</f>
        <v>4</v>
      </c>
      <c r="BC45" s="492" t="n">
        <f aca="true">OFFSET(BC45,0,-1)+1</f>
        <v>5</v>
      </c>
      <c r="BD45" s="49"/>
      <c r="BE45" s="49"/>
      <c r="BF45" s="49"/>
      <c r="BG45" s="49"/>
      <c r="BH45" s="49"/>
      <c r="BI45" s="124" t="n">
        <v>0</v>
      </c>
    </row>
    <row r="46" customFormat="false" ht="21.75" hidden="false" customHeight="true" outlineLevel="0" collapsed="false">
      <c r="A46" s="417" t="s">
        <v>243</v>
      </c>
      <c r="B46" s="417"/>
      <c r="C46" s="417"/>
      <c r="D46" s="417"/>
      <c r="E46" s="418" t="n">
        <v>1</v>
      </c>
      <c r="F46" s="417"/>
      <c r="G46" s="417"/>
      <c r="H46" s="417"/>
      <c r="I46" s="417"/>
      <c r="J46" s="417"/>
      <c r="K46" s="417"/>
      <c r="L46" s="419"/>
      <c r="M46" s="420"/>
      <c r="N46" s="420"/>
      <c r="O46" s="420"/>
      <c r="Q46" s="56"/>
      <c r="R46" s="421"/>
      <c r="S46" s="422" t="n">
        <f aca="false">INDEX(PT_DIFFERENTIATION_NUM_NTAR,MATCH(A46,PT_DIFFERENTIATION_NTAR_ID,0))</f>
        <v>0</v>
      </c>
      <c r="T46" s="423" t="s">
        <v>122</v>
      </c>
      <c r="U46" s="424"/>
      <c r="V46" s="591"/>
      <c r="W46" s="591"/>
      <c r="X46" s="591"/>
      <c r="Y46" s="591"/>
      <c r="Z46" s="591"/>
      <c r="AA46" s="591"/>
      <c r="AB46" s="591"/>
      <c r="AC46" s="591"/>
      <c r="AD46" s="426" t="str">
        <f aca="false">INDEX(PT_DIFFERENTIATION_NTAR,MATCH(A46,PT_DIFFERENTIATION_NTAR_ID,0))</f>
        <v/>
      </c>
      <c r="AE46" s="426"/>
      <c r="AF46" s="426"/>
      <c r="AG46" s="426"/>
      <c r="AH46" s="426"/>
      <c r="AI46" s="426"/>
      <c r="AJ46" s="426"/>
      <c r="AK46" s="426"/>
      <c r="AL46" s="426"/>
      <c r="AM46" s="426"/>
      <c r="AN46" s="426"/>
      <c r="AO46" s="426"/>
      <c r="AP46" s="426"/>
      <c r="AQ46" s="426"/>
      <c r="AR46" s="426"/>
      <c r="AS46" s="426"/>
      <c r="AT46" s="426"/>
      <c r="AU46" s="426"/>
      <c r="AV46" s="426"/>
      <c r="AW46" s="426"/>
      <c r="AX46" s="426"/>
      <c r="AY46" s="426"/>
      <c r="AZ46" s="426"/>
      <c r="BA46" s="426"/>
      <c r="BB46" s="426"/>
      <c r="BC46"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2"/>
      <c r="BF46" s="122" t="str">
        <f aca="false">IF(T46="","",T46)</f>
        <v>Наименование тарифа</v>
      </c>
      <c r="BG46" s="122"/>
      <c r="BH46" s="122"/>
      <c r="BI46" s="42" t="n">
        <v>21</v>
      </c>
    </row>
    <row r="47" customFormat="false" ht="21.75" hidden="false" customHeight="true" outlineLevel="0" collapsed="false">
      <c r="A47" s="417" t="s">
        <v>243</v>
      </c>
      <c r="B47" s="417" t="s">
        <v>244</v>
      </c>
      <c r="C47" s="417"/>
      <c r="D47" s="417"/>
      <c r="E47" s="418"/>
      <c r="F47" s="418" t="n">
        <v>1</v>
      </c>
      <c r="G47" s="417"/>
      <c r="H47" s="417"/>
      <c r="I47" s="417"/>
      <c r="J47" s="417"/>
      <c r="K47" s="417"/>
      <c r="L47" s="419"/>
      <c r="M47" s="420"/>
      <c r="N47" s="420"/>
      <c r="O47" s="420"/>
      <c r="P47" s="107"/>
      <c r="Q47" s="542"/>
      <c r="R47" s="429"/>
      <c r="S47" s="422" t="str">
        <f aca="false">INDEX(PT_DIFFERENTIATION_NUM_TER,MATCH(B47,PT_DIFFERENTIATION_TER_ID,0))</f>
        <v>.</v>
      </c>
      <c r="T47" s="430" t="s">
        <v>394</v>
      </c>
      <c r="U47" s="424"/>
      <c r="V47" s="591"/>
      <c r="W47" s="591"/>
      <c r="X47" s="591"/>
      <c r="Y47" s="591"/>
      <c r="Z47" s="591"/>
      <c r="AA47" s="591"/>
      <c r="AB47" s="591"/>
      <c r="AC47" s="591"/>
      <c r="AD47" s="426" t="str">
        <f aca="false">INDEX(PT_DIFFERENTIATION_TER,MATCH(B47,PT_DIFFERENTIATION_TER_ID,0))</f>
        <v/>
      </c>
      <c r="AE47" s="426"/>
      <c r="AF47" s="426"/>
      <c r="AG47" s="426"/>
      <c r="AH47" s="426"/>
      <c r="AI47" s="426"/>
      <c r="AJ47" s="426"/>
      <c r="AK47" s="426"/>
      <c r="AL47" s="426"/>
      <c r="AM47" s="426"/>
      <c r="AN47" s="426"/>
      <c r="AO47" s="426"/>
      <c r="AP47" s="426"/>
      <c r="AQ47" s="426"/>
      <c r="AR47" s="426"/>
      <c r="AS47" s="426"/>
      <c r="AT47" s="426"/>
      <c r="AU47" s="426"/>
      <c r="AV47" s="426"/>
      <c r="AW47" s="426"/>
      <c r="AX47" s="426"/>
      <c r="AY47" s="426"/>
      <c r="AZ47" s="426"/>
      <c r="BA47" s="426"/>
      <c r="BB47" s="426"/>
      <c r="BC47" s="427" t="s">
        <v>395</v>
      </c>
      <c r="BE47" s="122"/>
      <c r="BF47" s="122" t="str">
        <f aca="false">IF(T47="","",T47)</f>
        <v>Территория действия тарифа</v>
      </c>
      <c r="BG47" s="122"/>
      <c r="BH47" s="122"/>
      <c r="BI47" s="42" t="n">
        <v>21</v>
      </c>
    </row>
    <row r="48" customFormat="false" ht="42.75" hidden="false" customHeight="true" outlineLevel="0" collapsed="false">
      <c r="A48" s="417" t="s">
        <v>243</v>
      </c>
      <c r="B48" s="417" t="s">
        <v>244</v>
      </c>
      <c r="C48" s="417" t="s">
        <v>245</v>
      </c>
      <c r="D48" s="417"/>
      <c r="E48" s="418"/>
      <c r="F48" s="418"/>
      <c r="G48" s="418" t="n">
        <v>1</v>
      </c>
      <c r="H48" s="417"/>
      <c r="I48" s="417"/>
      <c r="J48" s="417"/>
      <c r="K48" s="417"/>
      <c r="L48" s="419"/>
      <c r="M48" s="420"/>
      <c r="N48" s="420"/>
      <c r="O48" s="420"/>
      <c r="P48" s="131"/>
      <c r="Q48" s="542"/>
      <c r="R48" s="429"/>
      <c r="S48" s="422" t="str">
        <f aca="false">INDEX(PT_DIFFERENTIATION_NUM_CS,MATCH(C48,PT_DIFFERENTIATION_CS_ID,0))</f>
        <v>..</v>
      </c>
      <c r="T48" s="432" t="s">
        <v>478</v>
      </c>
      <c r="U48" s="424"/>
      <c r="V48" s="591"/>
      <c r="W48" s="591"/>
      <c r="X48" s="591"/>
      <c r="Y48" s="591"/>
      <c r="Z48" s="591"/>
      <c r="AA48" s="591"/>
      <c r="AB48" s="591"/>
      <c r="AC48" s="591"/>
      <c r="AD48" s="426" t="str">
        <f aca="false">INDEX(PT_DIFFERENTIATION_CS,MATCH(C48,PT_DIFFERENTIATION_CS_ID,0))</f>
        <v/>
      </c>
      <c r="AE48" s="426"/>
      <c r="AF48" s="426"/>
      <c r="AG48" s="426"/>
      <c r="AH48" s="426"/>
      <c r="AI48" s="426"/>
      <c r="AJ48" s="426"/>
      <c r="AK48" s="426"/>
      <c r="AL48" s="426"/>
      <c r="AM48" s="426"/>
      <c r="AN48" s="426"/>
      <c r="AO48" s="426"/>
      <c r="AP48" s="426"/>
      <c r="AQ48" s="426"/>
      <c r="AR48" s="426"/>
      <c r="AS48" s="426"/>
      <c r="AT48" s="426"/>
      <c r="AU48" s="426"/>
      <c r="AV48" s="426"/>
      <c r="AW48" s="426"/>
      <c r="AX48" s="426"/>
      <c r="AY48" s="426"/>
      <c r="AZ48" s="426"/>
      <c r="BA48" s="426"/>
      <c r="BB48" s="426"/>
      <c r="BC48" s="427" t="s">
        <v>479</v>
      </c>
      <c r="BE48" s="122"/>
      <c r="BF48" s="122" t="str">
        <f aca="false">IF(T48="","",T48)</f>
        <v>Наименование централизованной системы холодного водоснабжения</v>
      </c>
      <c r="BG48" s="122"/>
      <c r="BH48" s="122"/>
      <c r="BI48" s="42" t="n">
        <v>41</v>
      </c>
    </row>
    <row r="49" s="49" customFormat="true" ht="14.35" hidden="false" customHeight="false" outlineLevel="0" collapsed="false">
      <c r="A49" s="126" t="s">
        <v>243</v>
      </c>
      <c r="B49" s="126" t="s">
        <v>244</v>
      </c>
      <c r="C49" s="126" t="s">
        <v>245</v>
      </c>
      <c r="D49" s="126" t="s">
        <v>512</v>
      </c>
      <c r="E49" s="418"/>
      <c r="F49" s="418"/>
      <c r="G49" s="418"/>
      <c r="H49" s="418" t="n">
        <v>1</v>
      </c>
      <c r="I49" s="126"/>
      <c r="J49" s="126"/>
      <c r="K49" s="126"/>
      <c r="L49" s="194"/>
      <c r="M49" s="402"/>
      <c r="N49" s="402"/>
      <c r="O49" s="402"/>
      <c r="P49" s="601"/>
      <c r="Q49" s="602"/>
      <c r="R49" s="438"/>
      <c r="S49" s="299"/>
      <c r="T49" s="603"/>
      <c r="U49" s="508"/>
      <c r="V49" s="543"/>
      <c r="W49" s="543"/>
      <c r="X49" s="543"/>
      <c r="Y49" s="543"/>
      <c r="Z49" s="543"/>
      <c r="AA49" s="543"/>
      <c r="AB49" s="543"/>
      <c r="AC49" s="543"/>
      <c r="AD49" s="509"/>
      <c r="AE49" s="509"/>
      <c r="AF49" s="509"/>
      <c r="AG49" s="509"/>
      <c r="AH49" s="509"/>
      <c r="AI49" s="509"/>
      <c r="AJ49" s="509"/>
      <c r="AK49" s="509"/>
      <c r="AL49" s="509"/>
      <c r="AM49" s="509"/>
      <c r="AN49" s="509"/>
      <c r="AO49" s="509"/>
      <c r="AP49" s="509"/>
      <c r="AQ49" s="509"/>
      <c r="AR49" s="509"/>
      <c r="AS49" s="509"/>
      <c r="AT49" s="509"/>
      <c r="AU49" s="509"/>
      <c r="AV49" s="509"/>
      <c r="AW49" s="509"/>
      <c r="AX49" s="509"/>
      <c r="AY49" s="509"/>
      <c r="AZ49" s="509"/>
      <c r="BA49" s="509"/>
      <c r="BB49" s="509"/>
      <c r="BC49" s="510" t="s">
        <v>399</v>
      </c>
      <c r="BE49" s="122"/>
      <c r="BF49" s="122" t="str">
        <f aca="false">IF(T49="","",T49)</f>
        <v/>
      </c>
      <c r="BG49" s="122"/>
      <c r="BH49" s="122"/>
      <c r="BI49" s="49" t="n">
        <v>0</v>
      </c>
    </row>
    <row r="50" s="49" customFormat="true" ht="14.35" hidden="false" customHeight="false" outlineLevel="0" collapsed="false">
      <c r="A50" s="126" t="s">
        <v>243</v>
      </c>
      <c r="B50" s="126" t="s">
        <v>244</v>
      </c>
      <c r="C50" s="126" t="s">
        <v>245</v>
      </c>
      <c r="D50" s="126" t="s">
        <v>512</v>
      </c>
      <c r="E50" s="418"/>
      <c r="F50" s="418"/>
      <c r="G50" s="418"/>
      <c r="H50" s="418"/>
      <c r="I50" s="434" t="str">
        <f aca="false">S49&amp;".1"</f>
        <v>.1</v>
      </c>
      <c r="J50" s="126"/>
      <c r="K50" s="126"/>
      <c r="L50" s="194" t="s">
        <v>400</v>
      </c>
      <c r="M50" s="515"/>
      <c r="N50" s="515"/>
      <c r="O50" s="515"/>
      <c r="P50" s="125" t="n">
        <v>1</v>
      </c>
      <c r="Q50" s="125"/>
      <c r="R50" s="435"/>
      <c r="S50" s="299"/>
      <c r="T50" s="507"/>
      <c r="U50" s="508"/>
      <c r="V50" s="543"/>
      <c r="W50" s="543"/>
      <c r="X50" s="543"/>
      <c r="Y50" s="543"/>
      <c r="Z50" s="543"/>
      <c r="AA50" s="543"/>
      <c r="AB50" s="543"/>
      <c r="AC50" s="543"/>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10"/>
      <c r="BE50" s="122"/>
      <c r="BF50" s="122" t="str">
        <f aca="false">IF(T50="","",T50)</f>
        <v/>
      </c>
      <c r="BG50" s="122"/>
      <c r="BH50" s="122"/>
      <c r="BI50" s="49" t="n">
        <v>0</v>
      </c>
    </row>
    <row r="51" s="49" customFormat="true" ht="14.35" hidden="false" customHeight="false" outlineLevel="0" collapsed="false">
      <c r="A51" s="126" t="s">
        <v>243</v>
      </c>
      <c r="B51" s="126" t="s">
        <v>244</v>
      </c>
      <c r="C51" s="126" t="s">
        <v>245</v>
      </c>
      <c r="D51" s="126" t="s">
        <v>512</v>
      </c>
      <c r="E51" s="418"/>
      <c r="F51" s="418"/>
      <c r="G51" s="418"/>
      <c r="H51" s="418"/>
      <c r="I51" s="434"/>
      <c r="J51" s="434" t="str">
        <f aca="false">S49&amp;".1"</f>
        <v>.1</v>
      </c>
      <c r="K51" s="126"/>
      <c r="L51" s="194"/>
      <c r="M51" s="515"/>
      <c r="N51" s="515"/>
      <c r="O51" s="515"/>
      <c r="P51" s="125"/>
      <c r="Q51" s="125" t="n">
        <v>1</v>
      </c>
      <c r="R51" s="438"/>
      <c r="S51" s="299"/>
      <c r="T51" s="544"/>
      <c r="U51" s="508"/>
      <c r="V51" s="543"/>
      <c r="W51" s="543"/>
      <c r="X51" s="543"/>
      <c r="Y51" s="543"/>
      <c r="Z51" s="543"/>
      <c r="AA51" s="543"/>
      <c r="AB51" s="543"/>
      <c r="AC51" s="543"/>
      <c r="AD51" s="509"/>
      <c r="AE51" s="509"/>
      <c r="AF51" s="509"/>
      <c r="AG51" s="509"/>
      <c r="AH51" s="509"/>
      <c r="AI51" s="509"/>
      <c r="AJ51" s="509"/>
      <c r="AK51" s="509"/>
      <c r="AL51" s="509"/>
      <c r="AM51" s="509"/>
      <c r="AN51" s="509"/>
      <c r="AO51" s="509"/>
      <c r="AP51" s="509"/>
      <c r="AQ51" s="509"/>
      <c r="AR51" s="509"/>
      <c r="AS51" s="509"/>
      <c r="AT51" s="509"/>
      <c r="AU51" s="509"/>
      <c r="AV51" s="509"/>
      <c r="AW51" s="509"/>
      <c r="AX51" s="509"/>
      <c r="AY51" s="509"/>
      <c r="AZ51" s="509"/>
      <c r="BA51" s="509"/>
      <c r="BB51" s="509"/>
      <c r="BC51" s="510"/>
      <c r="BE51" s="122"/>
      <c r="BF51" s="122" t="str">
        <f aca="false">IF(T51="","",T51)</f>
        <v/>
      </c>
      <c r="BG51" s="122"/>
      <c r="BH51" s="122"/>
      <c r="BI51" s="49" t="n">
        <v>0</v>
      </c>
    </row>
    <row r="52" customFormat="false" ht="11.25" hidden="false" customHeight="true" outlineLevel="0" collapsed="false">
      <c r="A52" s="417" t="s">
        <v>243</v>
      </c>
      <c r="B52" s="417" t="s">
        <v>244</v>
      </c>
      <c r="C52" s="417" t="s">
        <v>245</v>
      </c>
      <c r="D52" s="417" t="s">
        <v>512</v>
      </c>
      <c r="E52" s="418"/>
      <c r="F52" s="418"/>
      <c r="G52" s="418"/>
      <c r="H52" s="418"/>
      <c r="I52" s="434"/>
      <c r="J52" s="434"/>
      <c r="K52" s="434" t="str">
        <f aca="false">S48&amp;".1"</f>
        <v>...1</v>
      </c>
      <c r="L52" s="419"/>
      <c r="P52" s="125"/>
      <c r="Q52" s="125"/>
      <c r="R52" s="438" t="n">
        <v>1</v>
      </c>
      <c r="S52" s="480" t="str">
        <f aca="false">$K52</f>
        <v>...1</v>
      </c>
      <c r="T52" s="582"/>
      <c r="U52" s="424"/>
      <c r="V52" s="441"/>
      <c r="W52" s="443"/>
      <c r="X52" s="441"/>
      <c r="Y52" s="443"/>
      <c r="Z52" s="444"/>
      <c r="AA52" s="206" t="s">
        <v>64</v>
      </c>
      <c r="AB52" s="444"/>
      <c r="AC52" s="206" t="s">
        <v>64</v>
      </c>
      <c r="AD52" s="206" t="s">
        <v>64</v>
      </c>
      <c r="AE52" s="547"/>
      <c r="AF52" s="295" t="n">
        <v>1</v>
      </c>
      <c r="AG52" s="595"/>
      <c r="AH52" s="206" t="s">
        <v>64</v>
      </c>
      <c r="AI52" s="547"/>
      <c r="AJ52" s="295" t="n">
        <v>1</v>
      </c>
      <c r="AK52" s="78"/>
      <c r="AL52" s="206" t="s">
        <v>64</v>
      </c>
      <c r="AM52" s="505"/>
      <c r="AN52" s="295" t="n">
        <v>1</v>
      </c>
      <c r="AO52" s="604"/>
      <c r="AP52" s="605" t="s">
        <v>64</v>
      </c>
      <c r="AQ52" s="548"/>
      <c r="AR52" s="295" t="n">
        <v>1</v>
      </c>
      <c r="AS52" s="87"/>
      <c r="AT52" s="441"/>
      <c r="AU52" s="443"/>
      <c r="AV52" s="441"/>
      <c r="AW52" s="443"/>
      <c r="AX52" s="444"/>
      <c r="AY52" s="206" t="s">
        <v>64</v>
      </c>
      <c r="AZ52" s="444"/>
      <c r="BA52" s="206" t="s">
        <v>64</v>
      </c>
      <c r="BB52" s="493"/>
      <c r="BC52" s="445" t="s">
        <v>498</v>
      </c>
      <c r="BE52" s="122"/>
      <c r="BF52" s="122" t="str">
        <f aca="false">IF(T52="","",T52)</f>
        <v/>
      </c>
      <c r="BG52" s="122"/>
      <c r="BH52" s="122"/>
      <c r="BI52" s="42" t="n">
        <v>11</v>
      </c>
    </row>
    <row r="53" customFormat="false" ht="11.25" hidden="false" customHeight="true" outlineLevel="0" collapsed="false">
      <c r="A53" s="417"/>
      <c r="B53" s="417"/>
      <c r="C53" s="417"/>
      <c r="D53" s="417"/>
      <c r="E53" s="418"/>
      <c r="F53" s="418"/>
      <c r="G53" s="418"/>
      <c r="H53" s="418"/>
      <c r="I53" s="434"/>
      <c r="J53" s="434"/>
      <c r="K53" s="434"/>
      <c r="L53" s="419"/>
      <c r="P53" s="125"/>
      <c r="Q53" s="125"/>
      <c r="R53" s="438"/>
      <c r="S53" s="480"/>
      <c r="T53" s="582"/>
      <c r="U53" s="424"/>
      <c r="V53" s="537"/>
      <c r="W53" s="551"/>
      <c r="X53" s="537"/>
      <c r="Y53" s="551"/>
      <c r="Z53" s="537"/>
      <c r="AA53" s="537"/>
      <c r="AB53" s="537"/>
      <c r="AC53" s="537"/>
      <c r="AD53" s="206"/>
      <c r="AE53" s="547"/>
      <c r="AF53" s="295"/>
      <c r="AG53" s="595"/>
      <c r="AH53" s="206"/>
      <c r="AI53" s="547"/>
      <c r="AJ53" s="295"/>
      <c r="AK53" s="78"/>
      <c r="AL53" s="206"/>
      <c r="AM53" s="505"/>
      <c r="AN53" s="295"/>
      <c r="AO53" s="604"/>
      <c r="AP53" s="605"/>
      <c r="AQ53" s="550"/>
      <c r="AR53" s="170"/>
      <c r="AS53" s="170" t="s">
        <v>499</v>
      </c>
      <c r="AT53" s="537"/>
      <c r="AU53" s="551"/>
      <c r="AV53" s="537"/>
      <c r="AW53" s="551"/>
      <c r="AX53" s="537"/>
      <c r="AY53" s="537"/>
      <c r="AZ53" s="537"/>
      <c r="BA53" s="537"/>
      <c r="BB53" s="549"/>
      <c r="BC53" s="445"/>
      <c r="BE53" s="122"/>
      <c r="BF53" s="122"/>
      <c r="BG53" s="122"/>
      <c r="BH53" s="122"/>
      <c r="BI53" s="42" t="n">
        <v>11</v>
      </c>
    </row>
    <row r="54" customFormat="false" ht="11.25" hidden="false" customHeight="true" outlineLevel="0" collapsed="false">
      <c r="A54" s="417" t="s">
        <v>243</v>
      </c>
      <c r="B54" s="417"/>
      <c r="C54" s="417"/>
      <c r="D54" s="417"/>
      <c r="E54" s="418"/>
      <c r="F54" s="418"/>
      <c r="G54" s="418"/>
      <c r="H54" s="418"/>
      <c r="I54" s="434"/>
      <c r="J54" s="434"/>
      <c r="K54" s="434"/>
      <c r="L54" s="419"/>
      <c r="P54" s="125"/>
      <c r="Q54" s="125"/>
      <c r="R54" s="438"/>
      <c r="S54" s="480"/>
      <c r="T54" s="582"/>
      <c r="U54" s="424"/>
      <c r="V54" s="537"/>
      <c r="W54" s="551"/>
      <c r="X54" s="537"/>
      <c r="Y54" s="551"/>
      <c r="Z54" s="537"/>
      <c r="AA54" s="537"/>
      <c r="AB54" s="537"/>
      <c r="AC54" s="537"/>
      <c r="AD54" s="206"/>
      <c r="AE54" s="547"/>
      <c r="AF54" s="295"/>
      <c r="AG54" s="595"/>
      <c r="AH54" s="206"/>
      <c r="AI54" s="547"/>
      <c r="AJ54" s="295"/>
      <c r="AK54" s="78"/>
      <c r="AL54" s="206"/>
      <c r="AM54" s="550"/>
      <c r="AN54" s="606"/>
      <c r="AO54" s="606" t="s">
        <v>500</v>
      </c>
      <c r="AP54" s="170"/>
      <c r="AQ54" s="170"/>
      <c r="AR54" s="170"/>
      <c r="AS54" s="537"/>
      <c r="AT54" s="537"/>
      <c r="AU54" s="551"/>
      <c r="AV54" s="537"/>
      <c r="AW54" s="551"/>
      <c r="AX54" s="537"/>
      <c r="AY54" s="537"/>
      <c r="AZ54" s="537"/>
      <c r="BA54" s="537"/>
      <c r="BB54" s="549"/>
      <c r="BC54" s="445"/>
      <c r="BE54" s="122"/>
      <c r="BF54" s="122"/>
      <c r="BG54" s="122"/>
      <c r="BH54" s="122"/>
      <c r="BI54" s="42" t="n">
        <v>11</v>
      </c>
    </row>
    <row r="55" customFormat="false" ht="11.25" hidden="false" customHeight="true" outlineLevel="0" collapsed="false">
      <c r="A55" s="417" t="s">
        <v>243</v>
      </c>
      <c r="B55" s="417"/>
      <c r="C55" s="417"/>
      <c r="D55" s="417"/>
      <c r="E55" s="418"/>
      <c r="F55" s="418"/>
      <c r="G55" s="418"/>
      <c r="H55" s="418"/>
      <c r="I55" s="434"/>
      <c r="J55" s="434"/>
      <c r="K55" s="434"/>
      <c r="L55" s="419"/>
      <c r="P55" s="125"/>
      <c r="Q55" s="125"/>
      <c r="R55" s="438"/>
      <c r="S55" s="480"/>
      <c r="T55" s="582"/>
      <c r="U55" s="424"/>
      <c r="V55" s="537"/>
      <c r="W55" s="551"/>
      <c r="X55" s="537"/>
      <c r="Y55" s="551"/>
      <c r="Z55" s="537"/>
      <c r="AA55" s="537"/>
      <c r="AB55" s="537"/>
      <c r="AC55" s="537"/>
      <c r="AD55" s="206"/>
      <c r="AE55" s="547"/>
      <c r="AF55" s="295"/>
      <c r="AG55" s="595"/>
      <c r="AH55" s="206"/>
      <c r="AI55" s="553"/>
      <c r="AJ55" s="165"/>
      <c r="AK55" s="382" t="s">
        <v>501</v>
      </c>
      <c r="AL55" s="537"/>
      <c r="AM55" s="537"/>
      <c r="AN55" s="537"/>
      <c r="AO55" s="537"/>
      <c r="AP55" s="537"/>
      <c r="AQ55" s="537"/>
      <c r="AR55" s="537"/>
      <c r="AS55" s="537"/>
      <c r="AT55" s="537"/>
      <c r="AU55" s="551"/>
      <c r="AV55" s="537"/>
      <c r="AW55" s="551"/>
      <c r="AX55" s="537"/>
      <c r="AY55" s="537"/>
      <c r="AZ55" s="537"/>
      <c r="BA55" s="537"/>
      <c r="BB55" s="549"/>
      <c r="BC55" s="445"/>
      <c r="BE55" s="122"/>
      <c r="BF55" s="122"/>
      <c r="BG55" s="122"/>
      <c r="BH55" s="122"/>
      <c r="BI55" s="42" t="n">
        <v>11</v>
      </c>
    </row>
    <row r="56" customFormat="false" ht="11.25" hidden="false" customHeight="true" outlineLevel="0" collapsed="false">
      <c r="A56" s="417" t="s">
        <v>243</v>
      </c>
      <c r="B56" s="417" t="s">
        <v>244</v>
      </c>
      <c r="C56" s="417" t="s">
        <v>245</v>
      </c>
      <c r="D56" s="417" t="s">
        <v>512</v>
      </c>
      <c r="E56" s="418"/>
      <c r="F56" s="418"/>
      <c r="G56" s="418"/>
      <c r="H56" s="418"/>
      <c r="I56" s="434"/>
      <c r="J56" s="434"/>
      <c r="K56" s="434"/>
      <c r="L56" s="419"/>
      <c r="P56" s="125"/>
      <c r="Q56" s="125"/>
      <c r="R56" s="438"/>
      <c r="S56" s="480"/>
      <c r="T56" s="582"/>
      <c r="U56" s="424"/>
      <c r="V56" s="537"/>
      <c r="W56" s="538" t="str">
        <f aca="false">Z52&amp;"-"&amp;AB52</f>
        <v>-</v>
      </c>
      <c r="X56" s="537"/>
      <c r="Y56" s="538" t="str">
        <f aca="false">AB52&amp;"-"&amp;AD52</f>
        <v>-да</v>
      </c>
      <c r="Z56" s="537"/>
      <c r="AA56" s="537"/>
      <c r="AB56" s="537"/>
      <c r="AC56" s="537"/>
      <c r="AD56" s="206"/>
      <c r="AE56" s="555"/>
      <c r="AF56" s="556"/>
      <c r="AG56" s="170" t="s">
        <v>502</v>
      </c>
      <c r="AH56" s="537"/>
      <c r="AI56" s="537"/>
      <c r="AJ56" s="537"/>
      <c r="AK56" s="537"/>
      <c r="AL56" s="537"/>
      <c r="AM56" s="537"/>
      <c r="AN56" s="537"/>
      <c r="AO56" s="537"/>
      <c r="AP56" s="537"/>
      <c r="AQ56" s="537"/>
      <c r="AR56" s="537"/>
      <c r="AS56" s="537"/>
      <c r="AT56" s="537"/>
      <c r="AU56" s="538" t="str">
        <f aca="false">AX52&amp;"-"&amp;AZ52</f>
        <v>-</v>
      </c>
      <c r="AV56" s="537"/>
      <c r="AW56" s="538" t="str">
        <f aca="false">AZ52&amp;"-"&amp;BB52</f>
        <v>-</v>
      </c>
      <c r="AX56" s="537"/>
      <c r="AY56" s="537"/>
      <c r="AZ56" s="537"/>
      <c r="BA56" s="537"/>
      <c r="BB56" s="554" t="str">
        <f aca="false">BE52&amp;"-"&amp;BG52</f>
        <v>-</v>
      </c>
      <c r="BC56" s="445"/>
      <c r="BE56" s="122"/>
      <c r="BF56" s="122" t="str">
        <f aca="false">IF(T56="","",T56)</f>
        <v/>
      </c>
      <c r="BG56" s="122"/>
      <c r="BH56" s="122"/>
      <c r="BI56" s="42" t="n">
        <v>11</v>
      </c>
    </row>
    <row r="57" customFormat="false" ht="11.25" hidden="false" customHeight="true" outlineLevel="0" collapsed="false">
      <c r="A57" s="417" t="s">
        <v>243</v>
      </c>
      <c r="B57" s="417" t="s">
        <v>244</v>
      </c>
      <c r="C57" s="417" t="s">
        <v>245</v>
      </c>
      <c r="D57" s="417" t="s">
        <v>512</v>
      </c>
      <c r="E57" s="418"/>
      <c r="F57" s="418"/>
      <c r="G57" s="418"/>
      <c r="H57" s="418"/>
      <c r="I57" s="434"/>
      <c r="J57" s="434"/>
      <c r="K57" s="417"/>
      <c r="L57" s="419"/>
      <c r="P57" s="125"/>
      <c r="Q57" s="125"/>
      <c r="R57" s="435"/>
      <c r="S57" s="447"/>
      <c r="T57" s="450" t="s">
        <v>465</v>
      </c>
      <c r="U57" s="196"/>
      <c r="V57" s="196"/>
      <c r="W57" s="196"/>
      <c r="X57" s="196"/>
      <c r="Y57" s="196"/>
      <c r="Z57" s="196"/>
      <c r="AA57" s="196"/>
      <c r="AB57" s="196"/>
      <c r="AC57" s="449"/>
      <c r="AD57" s="578"/>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449"/>
      <c r="BC57" s="445"/>
      <c r="BE57" s="122"/>
      <c r="BF57" s="122" t="str">
        <f aca="false">IF(T57="","",T57)</f>
        <v>Добавить строку</v>
      </c>
      <c r="BG57" s="122"/>
      <c r="BH57" s="122"/>
      <c r="BI57" s="42" t="n">
        <v>11</v>
      </c>
    </row>
    <row r="58" s="49" customFormat="true" ht="14.35" hidden="false" customHeight="false" outlineLevel="0" collapsed="false">
      <c r="A58" s="126" t="s">
        <v>243</v>
      </c>
      <c r="B58" s="126" t="s">
        <v>244</v>
      </c>
      <c r="C58" s="126" t="s">
        <v>245</v>
      </c>
      <c r="D58" s="126" t="s">
        <v>512</v>
      </c>
      <c r="E58" s="418"/>
      <c r="F58" s="418"/>
      <c r="G58" s="418"/>
      <c r="H58" s="418"/>
      <c r="I58" s="434"/>
      <c r="J58" s="126"/>
      <c r="K58" s="126"/>
      <c r="L58" s="194"/>
      <c r="M58" s="515"/>
      <c r="N58" s="515"/>
      <c r="O58" s="515"/>
      <c r="P58" s="125"/>
      <c r="Q58" s="125"/>
      <c r="R58" s="435"/>
      <c r="S58" s="511"/>
      <c r="T58" s="512"/>
      <c r="U58" s="513"/>
      <c r="V58" s="513"/>
      <c r="W58" s="513"/>
      <c r="X58" s="513"/>
      <c r="Y58" s="513"/>
      <c r="Z58" s="513"/>
      <c r="AA58" s="513"/>
      <c r="AB58" s="513"/>
      <c r="AC58" s="513"/>
      <c r="AD58" s="513"/>
      <c r="AE58" s="513"/>
      <c r="AF58" s="513"/>
      <c r="AG58" s="513"/>
      <c r="AH58" s="513"/>
      <c r="AI58" s="513"/>
      <c r="AJ58" s="513"/>
      <c r="AK58" s="513"/>
      <c r="AL58" s="513"/>
      <c r="AM58" s="513"/>
      <c r="AN58" s="513"/>
      <c r="AO58" s="513"/>
      <c r="AP58" s="513"/>
      <c r="AQ58" s="513"/>
      <c r="AR58" s="513"/>
      <c r="AS58" s="513"/>
      <c r="AT58" s="513"/>
      <c r="AU58" s="513"/>
      <c r="AV58" s="513"/>
      <c r="AW58" s="513"/>
      <c r="AX58" s="513"/>
      <c r="AY58" s="513"/>
      <c r="AZ58" s="513"/>
      <c r="BA58" s="513"/>
      <c r="BB58" s="513"/>
      <c r="BC58" s="514"/>
      <c r="BE58" s="122"/>
      <c r="BF58" s="122" t="str">
        <f aca="false">IF(T58="","",T58)</f>
        <v/>
      </c>
      <c r="BG58" s="122"/>
      <c r="BH58" s="122"/>
      <c r="BI58" s="49" t="n">
        <v>0</v>
      </c>
    </row>
    <row r="59" s="49" customFormat="true" ht="14.35" hidden="false" customHeight="false" outlineLevel="0" collapsed="false">
      <c r="A59" s="126" t="s">
        <v>243</v>
      </c>
      <c r="B59" s="126" t="s">
        <v>244</v>
      </c>
      <c r="C59" s="126" t="s">
        <v>245</v>
      </c>
      <c r="D59" s="126" t="s">
        <v>512</v>
      </c>
      <c r="E59" s="418"/>
      <c r="F59" s="418"/>
      <c r="G59" s="418"/>
      <c r="H59" s="418"/>
      <c r="I59" s="126"/>
      <c r="J59" s="126"/>
      <c r="K59" s="126"/>
      <c r="L59" s="194"/>
      <c r="M59" s="402"/>
      <c r="N59" s="402"/>
      <c r="P59" s="160"/>
      <c r="Q59" s="455"/>
      <c r="R59" s="557"/>
      <c r="S59" s="511"/>
      <c r="T59" s="512"/>
      <c r="U59" s="513"/>
      <c r="V59" s="513"/>
      <c r="W59" s="513"/>
      <c r="X59" s="513"/>
      <c r="Y59" s="513"/>
      <c r="Z59" s="513"/>
      <c r="AA59" s="513"/>
      <c r="AB59" s="513"/>
      <c r="AC59" s="513"/>
      <c r="AD59" s="513"/>
      <c r="AE59" s="513"/>
      <c r="AF59" s="513"/>
      <c r="AG59" s="513"/>
      <c r="AH59" s="513"/>
      <c r="AI59" s="513"/>
      <c r="AJ59" s="513"/>
      <c r="AK59" s="513"/>
      <c r="AL59" s="513"/>
      <c r="AM59" s="513"/>
      <c r="AN59" s="513"/>
      <c r="AO59" s="513"/>
      <c r="AP59" s="513"/>
      <c r="AQ59" s="513"/>
      <c r="AR59" s="513"/>
      <c r="AS59" s="513"/>
      <c r="AT59" s="513"/>
      <c r="AU59" s="513"/>
      <c r="AV59" s="513"/>
      <c r="AW59" s="513"/>
      <c r="AX59" s="513"/>
      <c r="AY59" s="513"/>
      <c r="AZ59" s="513"/>
      <c r="BA59" s="513"/>
      <c r="BB59" s="513"/>
      <c r="BC59" s="514"/>
      <c r="BE59" s="122"/>
      <c r="BF59" s="122" t="str">
        <f aca="false">IF(T59="","",T59)</f>
        <v/>
      </c>
      <c r="BG59" s="122"/>
      <c r="BH59" s="122"/>
      <c r="BI59" s="49" t="n">
        <v>0</v>
      </c>
    </row>
    <row r="60" s="49" customFormat="true" ht="14.35" hidden="false" customHeight="false" outlineLevel="0" collapsed="false">
      <c r="A60" s="126" t="s">
        <v>243</v>
      </c>
      <c r="B60" s="126" t="s">
        <v>244</v>
      </c>
      <c r="C60" s="126" t="s">
        <v>245</v>
      </c>
      <c r="D60" s="126"/>
      <c r="E60" s="418"/>
      <c r="F60" s="418"/>
      <c r="G60" s="418"/>
      <c r="H60" s="126"/>
      <c r="I60" s="126"/>
      <c r="J60" s="126"/>
      <c r="K60" s="126"/>
      <c r="L60" s="194"/>
      <c r="M60" s="402"/>
      <c r="N60" s="402"/>
      <c r="P60" s="160"/>
      <c r="Q60" s="455"/>
      <c r="R60" s="160"/>
      <c r="S60" s="460"/>
      <c r="T60" s="463"/>
      <c r="U60" s="462"/>
      <c r="V60" s="462"/>
      <c r="W60" s="462"/>
      <c r="X60" s="462"/>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V60" s="462"/>
      <c r="AW60" s="462"/>
      <c r="AX60" s="462"/>
      <c r="AY60" s="462"/>
      <c r="AZ60" s="462"/>
      <c r="BA60" s="462"/>
      <c r="BB60" s="462"/>
      <c r="BC60" s="462"/>
      <c r="BE60" s="122"/>
      <c r="BF60" s="122" t="str">
        <f aca="false">IF(T60="","",T60)</f>
        <v/>
      </c>
      <c r="BG60" s="122"/>
      <c r="BH60" s="122"/>
      <c r="BI60" s="49" t="n">
        <v>0</v>
      </c>
    </row>
    <row r="61" s="49" customFormat="true" ht="14.35" hidden="false" customHeight="false" outlineLevel="0" collapsed="false">
      <c r="A61" s="126" t="s">
        <v>243</v>
      </c>
      <c r="B61" s="126" t="s">
        <v>244</v>
      </c>
      <c r="C61" s="126"/>
      <c r="D61" s="126"/>
      <c r="E61" s="418"/>
      <c r="F61" s="418"/>
      <c r="G61" s="126"/>
      <c r="H61" s="126"/>
      <c r="I61" s="126"/>
      <c r="J61" s="126"/>
      <c r="K61" s="126"/>
      <c r="L61" s="194"/>
      <c r="M61" s="459"/>
      <c r="N61" s="459"/>
      <c r="P61" s="160"/>
      <c r="Q61" s="455"/>
      <c r="R61" s="160"/>
      <c r="S61" s="460"/>
      <c r="T61" s="463" t="s">
        <v>412</v>
      </c>
      <c r="U61" s="462"/>
      <c r="V61" s="462"/>
      <c r="W61" s="462"/>
      <c r="X61" s="462"/>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V61" s="462"/>
      <c r="AW61" s="462"/>
      <c r="AX61" s="462"/>
      <c r="AY61" s="462"/>
      <c r="AZ61" s="462"/>
      <c r="BA61" s="462"/>
      <c r="BB61" s="462"/>
      <c r="BC61" s="462"/>
      <c r="BE61" s="122"/>
      <c r="BF61" s="122" t="str">
        <f aca="false">IF(T61="","",T61)</f>
        <v>Добавить централизованную систему для дифференциации</v>
      </c>
      <c r="BG61" s="122"/>
      <c r="BH61" s="122"/>
      <c r="BI61" s="49" t="n">
        <v>0</v>
      </c>
    </row>
    <row r="62" s="49" customFormat="true" ht="14.35" hidden="false" customHeight="false" outlineLevel="0" collapsed="false">
      <c r="A62" s="126" t="s">
        <v>243</v>
      </c>
      <c r="B62" s="126"/>
      <c r="C62" s="126"/>
      <c r="D62" s="126"/>
      <c r="E62" s="418"/>
      <c r="F62" s="126"/>
      <c r="G62" s="126"/>
      <c r="H62" s="126"/>
      <c r="I62" s="126"/>
      <c r="J62" s="126"/>
      <c r="K62" s="126"/>
      <c r="L62" s="194"/>
      <c r="M62" s="459"/>
      <c r="N62" s="459"/>
      <c r="P62" s="160"/>
      <c r="Q62" s="455"/>
      <c r="R62" s="160"/>
      <c r="S62" s="460"/>
      <c r="T62" s="463" t="s">
        <v>413</v>
      </c>
      <c r="U62" s="462"/>
      <c r="V62" s="462"/>
      <c r="W62" s="462"/>
      <c r="X62" s="462"/>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V62" s="462"/>
      <c r="AW62" s="462"/>
      <c r="AX62" s="462"/>
      <c r="AY62" s="462"/>
      <c r="AZ62" s="462"/>
      <c r="BA62" s="462"/>
      <c r="BB62" s="462"/>
      <c r="BC62" s="462"/>
      <c r="BE62" s="122"/>
      <c r="BF62" s="122" t="str">
        <f aca="false">IF(T62="","",T62)</f>
        <v>Добавить территорию для дифференциации</v>
      </c>
      <c r="BG62" s="122"/>
      <c r="BH62" s="122"/>
      <c r="BI62" s="49" t="n">
        <v>0</v>
      </c>
    </row>
    <row r="63" s="49" customFormat="true" ht="14.35" hidden="false" customHeight="false" outlineLevel="0" collapsed="false">
      <c r="A63" s="126"/>
      <c r="B63" s="126"/>
      <c r="C63" s="126"/>
      <c r="D63" s="126"/>
      <c r="E63" s="126"/>
      <c r="F63" s="126"/>
      <c r="G63" s="126"/>
      <c r="H63" s="126"/>
      <c r="I63" s="126"/>
      <c r="J63" s="126"/>
      <c r="K63" s="126"/>
      <c r="L63" s="194"/>
      <c r="M63" s="459"/>
      <c r="N63" s="459"/>
      <c r="P63" s="160"/>
      <c r="Q63" s="455"/>
      <c r="R63" s="160"/>
      <c r="S63" s="460"/>
      <c r="T63" s="463" t="s">
        <v>445</v>
      </c>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c r="BE63" s="122"/>
      <c r="BF63" s="122" t="str">
        <f aca="false">IF(T63="","",T63)</f>
        <v>Добавить наименование тарифа</v>
      </c>
      <c r="BG63" s="122"/>
      <c r="BH63" s="122"/>
      <c r="BI63" s="49"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9.5" hidden="false" customHeight="true" outlineLevel="0" collapsed="false">
      <c r="O65" s="45"/>
      <c r="S65" s="414"/>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5"/>
      <c r="AZ65" s="495"/>
      <c r="BA65" s="495"/>
      <c r="BB65" s="495"/>
      <c r="BC65" s="495"/>
      <c r="BI65" s="42" t="n">
        <v>19</v>
      </c>
    </row>
    <row r="66" customFormat="false" ht="14.25" hidden="false" customHeight="true" outlineLevel="0" collapsed="false">
      <c r="O66" s="4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5"/>
      <c r="BC66" s="495"/>
      <c r="BI66" s="42" t="n">
        <v>14</v>
      </c>
    </row>
    <row r="67" customFormat="false" ht="19.5" hidden="false" customHeight="true" outlineLevel="0" collapsed="false">
      <c r="O67" s="45"/>
      <c r="S67" s="414"/>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AV67" s="495"/>
      <c r="AW67" s="495"/>
      <c r="AX67" s="495"/>
      <c r="AY67" s="495"/>
      <c r="AZ67" s="495"/>
      <c r="BA67" s="495"/>
      <c r="BB67" s="495"/>
      <c r="BC67" s="495"/>
      <c r="BI67" s="42" t="n">
        <v>19</v>
      </c>
    </row>
    <row r="68" customFormat="false" ht="14.25" hidden="false" customHeight="true" outlineLevel="0" collapsed="false">
      <c r="O68" s="45"/>
      <c r="BI68" s="42" t="n">
        <v>14</v>
      </c>
    </row>
    <row r="69" customFormat="false" ht="14.25" hidden="true" customHeight="true" outlineLevel="0" collapsed="false">
      <c r="A69" s="45" t="s">
        <v>80</v>
      </c>
      <c r="B69" s="45" t="n">
        <v>0</v>
      </c>
      <c r="C69" s="45" t="n">
        <v>0</v>
      </c>
      <c r="D69" s="45" t="n">
        <v>0</v>
      </c>
      <c r="E69" s="45" t="n">
        <v>0</v>
      </c>
      <c r="F69" s="45" t="n">
        <v>0</v>
      </c>
      <c r="G69" s="45" t="n">
        <v>0</v>
      </c>
      <c r="H69" s="45" t="n">
        <v>0</v>
      </c>
      <c r="I69" s="45" t="n">
        <v>0</v>
      </c>
      <c r="J69" s="45" t="n">
        <v>0</v>
      </c>
      <c r="K69" s="45" t="n">
        <v>0</v>
      </c>
      <c r="L69" s="107" t="n">
        <v>0</v>
      </c>
      <c r="M69" s="53" t="n">
        <v>0</v>
      </c>
      <c r="N69" s="53" t="n">
        <v>0</v>
      </c>
      <c r="O69" s="53" t="n">
        <v>0</v>
      </c>
      <c r="P69" s="53" t="n">
        <v>0</v>
      </c>
      <c r="Q69" s="469" t="n">
        <v>0</v>
      </c>
      <c r="R69" s="416" t="n">
        <v>3</v>
      </c>
      <c r="S69" s="77"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9" t="n">
        <v>10</v>
      </c>
      <c r="BE69" s="49" t="n">
        <v>10</v>
      </c>
      <c r="BF69" s="49" t="n">
        <v>10</v>
      </c>
      <c r="BG69" s="49" t="n">
        <v>10</v>
      </c>
      <c r="BH69" s="49"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513</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514</v>
      </c>
      <c r="AM4" s="122"/>
      <c r="AN4" s="122" t="str">
        <f aca="false">IF(T4="","",T4)</f>
        <v>Наименование централизованной системы водоотведения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445"/>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90"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515</v>
      </c>
      <c r="W39" s="220" t="s">
        <v>516</v>
      </c>
      <c r="X39" s="220" t="s">
        <v>491</v>
      </c>
      <c r="Y39" s="220" t="s">
        <v>443</v>
      </c>
      <c r="Z39" s="220" t="s">
        <v>444</v>
      </c>
      <c r="AA39" s="220"/>
      <c r="AB39" s="395"/>
      <c r="AC39" s="589" t="s">
        <v>515</v>
      </c>
      <c r="AD39" s="220" t="s">
        <v>516</v>
      </c>
      <c r="AE39" s="220" t="s">
        <v>491</v>
      </c>
      <c r="AF39" s="220" t="s">
        <v>443</v>
      </c>
      <c r="AG39" s="220" t="s">
        <v>444</v>
      </c>
      <c r="AH39" s="220"/>
      <c r="AI39" s="395"/>
      <c r="AJ39" s="482"/>
      <c r="AK39" s="138"/>
      <c r="AQ39" s="42" t="n">
        <v>86</v>
      </c>
    </row>
    <row r="40" s="124" customFormat="true" ht="11.25" hidden="true" customHeight="tru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263</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263</v>
      </c>
      <c r="B42" s="417" t="s">
        <v>264</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263</v>
      </c>
      <c r="B43" s="417" t="s">
        <v>264</v>
      </c>
      <c r="C43" s="417" t="s">
        <v>265</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513</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514</v>
      </c>
      <c r="AM43" s="122"/>
      <c r="AN43" s="122" t="str">
        <f aca="false">IF(T43="","",T43)</f>
        <v>Наименование централизованной системы водоотведения</v>
      </c>
      <c r="AO43" s="122"/>
      <c r="AP43" s="122"/>
      <c r="AQ43" s="42" t="n">
        <v>23</v>
      </c>
    </row>
    <row r="44" customFormat="false" ht="24" hidden="false" customHeight="true" outlineLevel="0" collapsed="false">
      <c r="A44" s="417" t="s">
        <v>263</v>
      </c>
      <c r="B44" s="417" t="s">
        <v>264</v>
      </c>
      <c r="C44" s="417" t="s">
        <v>265</v>
      </c>
      <c r="D44" s="417" t="s">
        <v>517</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263</v>
      </c>
      <c r="B45" s="417" t="s">
        <v>264</v>
      </c>
      <c r="C45" s="417" t="s">
        <v>265</v>
      </c>
      <c r="D45" s="417" t="s">
        <v>517</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263</v>
      </c>
      <c r="B46" s="417" t="s">
        <v>264</v>
      </c>
      <c r="C46" s="417" t="s">
        <v>265</v>
      </c>
      <c r="D46" s="417" t="s">
        <v>517</v>
      </c>
      <c r="E46" s="418"/>
      <c r="F46" s="418"/>
      <c r="G46" s="418"/>
      <c r="H46" s="418"/>
      <c r="I46" s="434"/>
      <c r="J46" s="434"/>
      <c r="K46" s="434" t="str">
        <f aca="false">J45&amp;".1"</f>
        <v>...1.1.1</v>
      </c>
      <c r="L46" s="419"/>
      <c r="P46" s="125"/>
      <c r="Q46" s="125"/>
      <c r="R46" s="438" t="n">
        <v>1</v>
      </c>
      <c r="S46" s="422" t="str">
        <f aca="false">$K46</f>
        <v>...1.1.1</v>
      </c>
      <c r="T46" s="582"/>
      <c r="U46" s="424"/>
      <c r="V46" s="464"/>
      <c r="W46" s="464"/>
      <c r="X46" s="465"/>
      <c r="Y46" s="466"/>
      <c r="Z46" s="467" t="s">
        <v>64</v>
      </c>
      <c r="AA46" s="466"/>
      <c r="AB46" s="467" t="s">
        <v>64</v>
      </c>
      <c r="AC46" s="441"/>
      <c r="AD46" s="441"/>
      <c r="AE46" s="443"/>
      <c r="AF46" s="444"/>
      <c r="AG46" s="206" t="s">
        <v>64</v>
      </c>
      <c r="AH46" s="444"/>
      <c r="AI46" s="206" t="s">
        <v>19</v>
      </c>
      <c r="AJ46" s="583"/>
      <c r="AK46"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263</v>
      </c>
      <c r="B47" s="417" t="s">
        <v>264</v>
      </c>
      <c r="C47" s="417" t="s">
        <v>265</v>
      </c>
      <c r="D47" s="417" t="s">
        <v>517</v>
      </c>
      <c r="E47" s="418"/>
      <c r="F47" s="418"/>
      <c r="G47" s="418"/>
      <c r="H47" s="418"/>
      <c r="I47" s="434"/>
      <c r="J47" s="434"/>
      <c r="K47" s="434"/>
      <c r="L47" s="419"/>
      <c r="P47" s="125"/>
      <c r="Q47" s="125"/>
      <c r="R47" s="438"/>
      <c r="S47" s="397"/>
      <c r="T47" s="424"/>
      <c r="U47" s="424"/>
      <c r="V47" s="464"/>
      <c r="W47" s="464"/>
      <c r="X47" s="446" t="str">
        <f aca="false">Y46&amp;"-"&amp;AA46</f>
        <v>-</v>
      </c>
      <c r="Y47" s="466"/>
      <c r="Z47" s="466"/>
      <c r="AA47" s="466"/>
      <c r="AB47" s="466"/>
      <c r="AC47" s="442"/>
      <c r="AD47" s="442"/>
      <c r="AE47" s="446" t="str">
        <f aca="false">AF46&amp;"-"&amp;AH46</f>
        <v>-</v>
      </c>
      <c r="AF47" s="444"/>
      <c r="AG47" s="206"/>
      <c r="AH47" s="444"/>
      <c r="AI47" s="206"/>
      <c r="AJ47" s="585"/>
      <c r="AK47" s="445"/>
      <c r="AM47" s="122"/>
      <c r="AN47" s="122" t="str">
        <f aca="false">IF(T47="","",T47)</f>
        <v/>
      </c>
      <c r="AO47" s="122"/>
      <c r="AP47" s="122"/>
      <c r="AQ47" s="42" t="n">
        <v>0</v>
      </c>
    </row>
    <row r="48" customFormat="false" ht="21" hidden="false" customHeight="true" outlineLevel="0" collapsed="false">
      <c r="A48" s="417" t="s">
        <v>263</v>
      </c>
      <c r="B48" s="417" t="s">
        <v>264</v>
      </c>
      <c r="C48" s="417" t="s">
        <v>265</v>
      </c>
      <c r="D48" s="417" t="s">
        <v>517</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263</v>
      </c>
      <c r="B49" s="417" t="s">
        <v>264</v>
      </c>
      <c r="C49" s="417" t="s">
        <v>265</v>
      </c>
      <c r="D49" s="417" t="s">
        <v>517</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263</v>
      </c>
      <c r="B50" s="417" t="s">
        <v>264</v>
      </c>
      <c r="C50" s="417" t="s">
        <v>265</v>
      </c>
      <c r="D50" s="417" t="s">
        <v>517</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263</v>
      </c>
      <c r="B51" s="126" t="s">
        <v>264</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263</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9"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t="e">
        <f aca="false">INDEX(PT_DIFFERENTIATION_NTAR,MATCH(A2,PT_DIFFERENTIATION_NTAR_ID,0))</f>
        <v>#N/A</v>
      </c>
      <c r="AD2" s="425"/>
      <c r="AE2" s="425"/>
      <c r="AF2" s="425"/>
      <c r="AG2" s="425"/>
      <c r="AH2" s="425"/>
      <c r="AI2" s="425"/>
      <c r="AJ2" s="425"/>
      <c r="AK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2"/>
      <c r="AN2" s="122" t="str">
        <f aca="false">IF(T2="","",T2)</f>
        <v>Наименование тарифа</v>
      </c>
      <c r="AO2" s="122"/>
      <c r="AP2" s="122"/>
      <c r="AQ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t="e">
        <f aca="false">INDEX(PT_DIFFERENTIATION_TER,MATCH(B3,PT_DIFFERENTIATION_TER_ID,0))</f>
        <v>#N/A</v>
      </c>
      <c r="AD3" s="425"/>
      <c r="AE3" s="425"/>
      <c r="AF3" s="425"/>
      <c r="AG3" s="425"/>
      <c r="AH3" s="425"/>
      <c r="AI3" s="425"/>
      <c r="AJ3" s="425"/>
      <c r="AK3" s="427" t="s">
        <v>395</v>
      </c>
      <c r="AM3" s="122"/>
      <c r="AN3" s="122" t="str">
        <f aca="false">IF(T3="","",T3)</f>
        <v>Территория действия тарифа</v>
      </c>
      <c r="AO3" s="122"/>
      <c r="AP3" s="122"/>
      <c r="AQ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513</v>
      </c>
      <c r="U4" s="424"/>
      <c r="V4" s="425"/>
      <c r="W4" s="425"/>
      <c r="X4" s="425"/>
      <c r="Y4" s="425"/>
      <c r="Z4" s="425"/>
      <c r="AA4" s="425"/>
      <c r="AB4" s="425"/>
      <c r="AC4" s="425" t="e">
        <f aca="false">INDEX(PT_DIFFERENTIATION_CS,MATCH(C4,PT_DIFFERENTIATION_CS_ID,0))</f>
        <v>#N/A</v>
      </c>
      <c r="AD4" s="425"/>
      <c r="AE4" s="425"/>
      <c r="AF4" s="425"/>
      <c r="AG4" s="425"/>
      <c r="AH4" s="425"/>
      <c r="AI4" s="425"/>
      <c r="AJ4" s="425"/>
      <c r="AK4" s="427" t="s">
        <v>514</v>
      </c>
      <c r="AM4" s="122"/>
      <c r="AN4" s="122" t="str">
        <f aca="false">IF(T4="","",T4)</f>
        <v>Наименование централизованной системы водоотведения</v>
      </c>
      <c r="AO4" s="122"/>
      <c r="AP4" s="122"/>
      <c r="AQ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333"/>
      <c r="AD5" s="333"/>
      <c r="AE5" s="333"/>
      <c r="AF5" s="333"/>
      <c r="AG5" s="333"/>
      <c r="AH5" s="333"/>
      <c r="AI5" s="333"/>
      <c r="AJ5" s="333"/>
      <c r="AK5" s="427" t="s">
        <v>481</v>
      </c>
      <c r="AM5" s="122"/>
      <c r="AN5" s="122" t="str">
        <f aca="false">IF(T5="","",T5)</f>
        <v>Наименование признака дифференциации</v>
      </c>
      <c r="AO5" s="122"/>
      <c r="AP5" s="122"/>
      <c r="AQ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532" t="s">
        <v>482</v>
      </c>
      <c r="AM6" s="122"/>
      <c r="AN6" s="122" t="str">
        <f aca="false">IF(T6="","",T6)</f>
        <v>Группа потребителей</v>
      </c>
      <c r="AO6" s="122"/>
      <c r="AP6" s="122"/>
      <c r="AQ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3"/>
      <c r="Y7" s="444"/>
      <c r="Z7" s="206" t="s">
        <v>64</v>
      </c>
      <c r="AA7" s="444"/>
      <c r="AB7" s="206" t="s">
        <v>64</v>
      </c>
      <c r="AC7" s="441"/>
      <c r="AD7" s="441"/>
      <c r="AE7" s="443"/>
      <c r="AF7" s="444"/>
      <c r="AG7" s="206" t="s">
        <v>64</v>
      </c>
      <c r="AH7" s="444"/>
      <c r="AI7" s="206" t="s">
        <v>64</v>
      </c>
      <c r="AJ7" s="583"/>
      <c r="AK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2"/>
      <c r="AN7" s="122" t="str">
        <f aca="false">IF(T7="","",T7)</f>
        <v/>
      </c>
      <c r="AO7" s="122"/>
      <c r="AP7" s="122"/>
      <c r="AQ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6" t="str">
        <f aca="false">Y7&amp;"-"&amp;AA7</f>
        <v>-</v>
      </c>
      <c r="Y8" s="444"/>
      <c r="Z8" s="206"/>
      <c r="AA8" s="444"/>
      <c r="AB8" s="206"/>
      <c r="AC8" s="442"/>
      <c r="AD8" s="442"/>
      <c r="AE8" s="446" t="str">
        <f aca="false">AF7&amp;"-"&amp;AH7</f>
        <v>-</v>
      </c>
      <c r="AF8" s="444"/>
      <c r="AG8" s="206"/>
      <c r="AH8" s="444"/>
      <c r="AI8" s="206"/>
      <c r="AJ8" s="585"/>
      <c r="AK8" s="445"/>
      <c r="AM8" s="122"/>
      <c r="AN8" s="122" t="str">
        <f aca="false">IF(T8="","",T8)</f>
        <v/>
      </c>
      <c r="AO8" s="122"/>
      <c r="AP8" s="122"/>
      <c r="AQ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427" t="s">
        <v>484</v>
      </c>
      <c r="AM9" s="122"/>
      <c r="AN9" s="122" t="str">
        <f aca="false">IF(T9="","",T9)</f>
        <v>Добавить значение признака дифференциации</v>
      </c>
      <c r="AO9" s="122"/>
      <c r="AP9" s="122"/>
      <c r="AQ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451"/>
      <c r="AC10" s="196"/>
      <c r="AD10" s="196"/>
      <c r="AE10" s="196"/>
      <c r="AF10" s="196"/>
      <c r="AG10" s="196"/>
      <c r="AH10" s="196"/>
      <c r="AI10" s="451"/>
      <c r="AJ10" s="196"/>
      <c r="AK10" s="586"/>
      <c r="AM10" s="122"/>
      <c r="AN10" s="122" t="str">
        <f aca="false">IF(T10="","",T10)</f>
        <v>Добавить группу потребителей</v>
      </c>
      <c r="AO10" s="122"/>
      <c r="AP10" s="122"/>
      <c r="AQ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451"/>
      <c r="AC11" s="196"/>
      <c r="AD11" s="196"/>
      <c r="AE11" s="196"/>
      <c r="AF11" s="196"/>
      <c r="AG11" s="196"/>
      <c r="AH11" s="196"/>
      <c r="AI11" s="451"/>
      <c r="AJ11" s="196"/>
      <c r="AK11" s="452"/>
      <c r="AM11" s="122"/>
      <c r="AN11" s="122" t="str">
        <f aca="false">IF(T11="","",T11)</f>
        <v>Добавить наименование признака дифференциации</v>
      </c>
      <c r="AO11" s="122"/>
      <c r="AP11" s="122"/>
      <c r="AQ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M12" s="122"/>
      <c r="AN12" s="122" t="str">
        <f aca="false">IF(T12="","",T12)</f>
        <v>Добавить централизованную систему для дифференциации</v>
      </c>
      <c r="AO12" s="122"/>
      <c r="AP12" s="122"/>
      <c r="AQ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M13" s="122"/>
      <c r="AN13" s="122" t="str">
        <f aca="false">IF(T13="","",T13)</f>
        <v>Добавить территорию для дифференциации</v>
      </c>
      <c r="AO13" s="122"/>
      <c r="AP13" s="122"/>
      <c r="AQ13" s="49" t="n">
        <v>0</v>
      </c>
    </row>
    <row r="14" customFormat="false" ht="14.25" hidden="true" customHeight="true" outlineLevel="0" collapsed="false">
      <c r="AQ14" s="42" t="n">
        <v>0</v>
      </c>
    </row>
    <row r="15" customFormat="false" ht="14.25" hidden="true" customHeight="true" outlineLevel="0" collapsed="false">
      <c r="AC15" s="464"/>
      <c r="AD15" s="464"/>
      <c r="AE15" s="465"/>
      <c r="AF15" s="466"/>
      <c r="AG15" s="467" t="s">
        <v>64</v>
      </c>
      <c r="AH15" s="466"/>
      <c r="AI15" s="467" t="s">
        <v>64</v>
      </c>
      <c r="AQ15" s="42" t="n">
        <v>0</v>
      </c>
    </row>
    <row r="16" customFormat="false" ht="14.25" hidden="true" customHeight="true" outlineLevel="0" collapsed="false">
      <c r="AC16" s="464"/>
      <c r="AD16" s="464"/>
      <c r="AE16" s="446" t="str">
        <f aca="false">AF15&amp;"-"&amp;AH15</f>
        <v>-</v>
      </c>
      <c r="AF16" s="466"/>
      <c r="AG16" s="466"/>
      <c r="AH16" s="466"/>
      <c r="AI16" s="466"/>
      <c r="AQ16" s="42" t="n">
        <v>0</v>
      </c>
    </row>
    <row r="17" customFormat="false" ht="14.25" hidden="true" customHeight="true" outlineLevel="0" collapsed="false">
      <c r="AQ17" s="42" t="n">
        <v>0</v>
      </c>
    </row>
    <row r="18" s="45" customFormat="true" ht="22.5" hidden="true" customHeight="true" outlineLevel="0" collapsed="false">
      <c r="L18" s="107"/>
      <c r="M18" s="53"/>
      <c r="N18" s="53"/>
      <c r="O18" s="468" t="s">
        <v>414</v>
      </c>
      <c r="P18" s="53"/>
      <c r="Q18" s="469"/>
      <c r="R18" s="469"/>
      <c r="S18" s="420"/>
      <c r="Y18" s="468"/>
      <c r="AA18" s="468"/>
      <c r="AF18" s="468"/>
      <c r="AH18" s="468"/>
      <c r="AL18" s="49"/>
      <c r="AM18" s="49"/>
      <c r="AN18" s="49"/>
      <c r="AO18" s="49"/>
      <c r="AP18" s="49"/>
      <c r="AQ18" s="45" t="n">
        <v>0</v>
      </c>
    </row>
    <row r="19" s="45" customFormat="true" ht="14.25" hidden="true" customHeight="true" outlineLevel="0" collapsed="false">
      <c r="L19" s="107"/>
      <c r="M19" s="53"/>
      <c r="N19" s="53"/>
      <c r="O19" s="53"/>
      <c r="P19" s="53"/>
      <c r="Q19" s="469"/>
      <c r="R19" s="469"/>
      <c r="S19" s="420"/>
      <c r="AL19" s="49"/>
      <c r="AM19" s="49"/>
      <c r="AN19" s="49"/>
      <c r="AO19" s="49"/>
      <c r="AP19" s="49"/>
      <c r="AQ19" s="45" t="n">
        <v>0</v>
      </c>
    </row>
    <row r="20" s="45" customFormat="true" ht="12" hidden="true" customHeight="true" outlineLevel="0" collapsed="false">
      <c r="L20" s="107"/>
      <c r="M20" s="53"/>
      <c r="N20" s="53"/>
      <c r="O20" s="419" t="s">
        <v>415</v>
      </c>
      <c r="P20" s="53"/>
      <c r="Q20" s="588"/>
      <c r="R20" s="588"/>
      <c r="S20" s="420"/>
      <c r="T20" s="45" t="s">
        <v>416</v>
      </c>
      <c r="Z20" s="144" t="s">
        <v>417</v>
      </c>
      <c r="AB20" s="144" t="s">
        <v>418</v>
      </c>
      <c r="AC20" s="45" t="s">
        <v>416</v>
      </c>
      <c r="AG20" s="144" t="s">
        <v>419</v>
      </c>
      <c r="AI20" s="144" t="s">
        <v>418</v>
      </c>
      <c r="AQ20" s="45" t="n">
        <v>0</v>
      </c>
    </row>
    <row r="21" customFormat="false" ht="14.25" hidden="true" customHeight="true" outlineLevel="0" collapsed="false">
      <c r="O21" s="419"/>
      <c r="AQ21" s="42" t="n">
        <v>0</v>
      </c>
    </row>
    <row r="22" customFormat="false" ht="14.25" hidden="true" customHeight="true" outlineLevel="0" collapsed="false">
      <c r="O22" s="419"/>
      <c r="AQ22" s="42" t="n">
        <v>0</v>
      </c>
    </row>
    <row r="23" customFormat="false" ht="14.25" hidden="false" customHeight="true" outlineLevel="0" collapsed="false">
      <c r="Q23" s="470"/>
      <c r="R23" s="470"/>
      <c r="S23" s="471"/>
      <c r="T23" s="83"/>
      <c r="U23" s="83"/>
      <c r="AQ23" s="42" t="n">
        <v>14</v>
      </c>
    </row>
    <row r="24" customFormat="false" ht="14.25" hidden="false" customHeight="true" outlineLevel="0" collapsed="false">
      <c r="Q24" s="470"/>
      <c r="R24" s="470"/>
      <c r="S24" s="215"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5"/>
      <c r="U24" s="215"/>
      <c r="V24" s="215"/>
      <c r="W24" s="215"/>
      <c r="X24" s="215"/>
      <c r="Y24" s="215"/>
      <c r="Z24" s="215"/>
      <c r="AA24" s="215"/>
      <c r="AB24" s="215"/>
      <c r="AC24" s="215"/>
      <c r="AD24" s="215"/>
      <c r="AE24" s="215"/>
      <c r="AF24" s="215"/>
      <c r="AG24" s="215"/>
      <c r="AH24" s="215"/>
      <c r="AI24" s="217"/>
      <c r="AQ24" s="42" t="n">
        <v>14</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17"/>
      <c r="AQ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Q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2"/>
      <c r="AC27" s="475" t="str">
        <f aca="false">IF(TITLE_NAME_OR_PR_CHANGE="",IF(TITLE_NAME_OR_PR="","",TITLE_NAME_OR_PR),TITLE_NAME_OR_PR_CHANGE)</f>
        <v/>
      </c>
      <c r="AD27" s="475"/>
      <c r="AE27" s="475"/>
      <c r="AF27" s="475"/>
      <c r="AG27" s="475"/>
      <c r="AH27" s="475"/>
      <c r="AI27" s="42"/>
      <c r="AJ27" s="42"/>
      <c r="AK27" s="476"/>
      <c r="AL27" s="122"/>
      <c r="AM27" s="122"/>
      <c r="AN27" s="122"/>
      <c r="AO27" s="122"/>
      <c r="AP27" s="122"/>
      <c r="AQ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2"/>
      <c r="AC28" s="477" t="str">
        <f aca="false">IF(TITLE_DATE_PR_CHANGE="",IF(TITLE_DATE_PR="","",TITLE_DATE_PR),TITLE_DATE_PR_CHANGE)</f>
        <v/>
      </c>
      <c r="AD28" s="477"/>
      <c r="AE28" s="477"/>
      <c r="AF28" s="477"/>
      <c r="AG28" s="477"/>
      <c r="AH28" s="477"/>
      <c r="AI28" s="42"/>
      <c r="AJ28" s="42"/>
      <c r="AK28" s="476"/>
      <c r="AL28" s="122"/>
      <c r="AM28" s="122"/>
      <c r="AN28" s="122"/>
      <c r="AO28" s="122"/>
      <c r="AP28" s="122"/>
      <c r="AQ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2"/>
      <c r="AC29" s="475" t="str">
        <f aca="false">IF(TITLE_NUMBER_PR_CHANGE="",IF(TITLE_NUMBER_PR="","",TITLE_NUMBER_PR),TITLE_NUMBER_PR_CHANGE)</f>
        <v/>
      </c>
      <c r="AD29" s="475"/>
      <c r="AE29" s="475"/>
      <c r="AF29" s="475"/>
      <c r="AG29" s="475"/>
      <c r="AH29" s="475"/>
      <c r="AI29" s="42"/>
      <c r="AJ29" s="42"/>
      <c r="AK29" s="476"/>
      <c r="AL29" s="122"/>
      <c r="AM29" s="122"/>
      <c r="AN29" s="122"/>
      <c r="AO29" s="122"/>
      <c r="AP29" s="122"/>
      <c r="AQ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2"/>
      <c r="AC30" s="475" t="str">
        <f aca="false">IF(TITLE_IST_PUB_CHANGE="",IF(TITLE_IST_PUB="","",TITLE_IST_PUB),TITLE_IST_PUB_CHANGE)</f>
        <v/>
      </c>
      <c r="AD30" s="475"/>
      <c r="AE30" s="475"/>
      <c r="AF30" s="475"/>
      <c r="AG30" s="475"/>
      <c r="AH30" s="475"/>
      <c r="AI30" s="42"/>
      <c r="AJ30" s="42"/>
      <c r="AK30" s="476"/>
      <c r="AL30" s="122"/>
      <c r="AM30" s="122"/>
      <c r="AN30" s="122"/>
      <c r="AO30" s="122"/>
      <c r="AP30" s="122"/>
      <c r="AQ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Q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2"/>
      <c r="AC32" s="477" t="str">
        <f aca="false">IF(TITLE_DATE_PR_CHANGE="",IF(TITLE_DATE_PR="","",TITLE_DATE_PR),TITLE_DATE_PR_CHANGE)</f>
        <v/>
      </c>
      <c r="AD32" s="477"/>
      <c r="AE32" s="477"/>
      <c r="AF32" s="477"/>
      <c r="AG32" s="477"/>
      <c r="AH32" s="477"/>
      <c r="AI32" s="42"/>
      <c r="AJ32" s="42"/>
      <c r="AK32" s="476"/>
      <c r="AL32" s="122"/>
      <c r="AM32" s="122"/>
      <c r="AN32" s="122"/>
      <c r="AO32" s="122"/>
      <c r="AP32" s="122"/>
      <c r="AQ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2"/>
      <c r="AC33" s="475" t="str">
        <f aca="false">IF(TITLE_NUMBER_PR_CHANGE="",IF(TITLE_NUMBER_PR="","",TITLE_NUMBER_PR),TITLE_NUMBER_PR_CHANGE)</f>
        <v/>
      </c>
      <c r="AD33" s="475"/>
      <c r="AE33" s="475"/>
      <c r="AF33" s="475"/>
      <c r="AG33" s="475"/>
      <c r="AH33" s="475"/>
      <c r="AI33" s="42"/>
      <c r="AJ33" s="42"/>
      <c r="AK33" s="476"/>
      <c r="AL33" s="122"/>
      <c r="AM33" s="122"/>
      <c r="AN33" s="122"/>
      <c r="AO33" s="122"/>
      <c r="AP33" s="122"/>
      <c r="AQ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9" t="s">
        <v>424</v>
      </c>
      <c r="AC34" s="42"/>
      <c r="AD34" s="42"/>
      <c r="AE34" s="42"/>
      <c r="AF34" s="42"/>
      <c r="AG34" s="42"/>
      <c r="AH34" s="42"/>
      <c r="AI34" s="49" t="s">
        <v>424</v>
      </c>
      <c r="AL34" s="122"/>
      <c r="AM34" s="122"/>
      <c r="AN34" s="122"/>
      <c r="AO34" s="122"/>
      <c r="AP34" s="122"/>
      <c r="AQ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Q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t="s">
        <v>298</v>
      </c>
      <c r="AQ36" s="42" t="n">
        <v>14</v>
      </c>
    </row>
    <row r="37" customFormat="false" ht="14.25" hidden="false" customHeight="true" outlineLevel="0" collapsed="false">
      <c r="Q37" s="470"/>
      <c r="R37" s="470"/>
      <c r="S37" s="480" t="s">
        <v>86</v>
      </c>
      <c r="T37" s="395" t="s">
        <v>425</v>
      </c>
      <c r="U37" s="481"/>
      <c r="V37" s="294" t="s">
        <v>426</v>
      </c>
      <c r="W37" s="294"/>
      <c r="X37" s="294"/>
      <c r="Y37" s="294"/>
      <c r="Z37" s="294"/>
      <c r="AA37" s="294"/>
      <c r="AB37" s="395" t="s">
        <v>427</v>
      </c>
      <c r="AC37" s="294" t="s">
        <v>426</v>
      </c>
      <c r="AD37" s="294"/>
      <c r="AE37" s="294"/>
      <c r="AF37" s="294"/>
      <c r="AG37" s="294"/>
      <c r="AH37" s="294"/>
      <c r="AI37" s="395" t="s">
        <v>428</v>
      </c>
      <c r="AJ37" s="482" t="s">
        <v>429</v>
      </c>
      <c r="AK37" s="138"/>
      <c r="AQ37" s="42" t="n">
        <v>14</v>
      </c>
    </row>
    <row r="38" customFormat="false" ht="35.25" hidden="false" customHeight="true" outlineLevel="0" collapsed="false">
      <c r="Q38" s="470"/>
      <c r="R38" s="470"/>
      <c r="S38" s="480"/>
      <c r="T38" s="395"/>
      <c r="U38" s="483"/>
      <c r="V38" s="260" t="s">
        <v>486</v>
      </c>
      <c r="W38" s="138" t="s">
        <v>432</v>
      </c>
      <c r="X38" s="138"/>
      <c r="Y38" s="138" t="s">
        <v>433</v>
      </c>
      <c r="Z38" s="138"/>
      <c r="AA38" s="138"/>
      <c r="AB38" s="395"/>
      <c r="AC38" s="260" t="s">
        <v>486</v>
      </c>
      <c r="AD38" s="138" t="s">
        <v>432</v>
      </c>
      <c r="AE38" s="138"/>
      <c r="AF38" s="138" t="s">
        <v>433</v>
      </c>
      <c r="AG38" s="138"/>
      <c r="AH38" s="138"/>
      <c r="AI38" s="395"/>
      <c r="AJ38" s="482"/>
      <c r="AK38" s="138"/>
      <c r="AQ38" s="42" t="n">
        <v>34</v>
      </c>
    </row>
    <row r="39" customFormat="false" ht="90" hidden="false" customHeight="true" outlineLevel="0" collapsed="false">
      <c r="A39" s="144"/>
      <c r="B39" s="144" t="s">
        <v>134</v>
      </c>
      <c r="C39" s="144" t="s">
        <v>135</v>
      </c>
      <c r="D39" s="144" t="s">
        <v>136</v>
      </c>
      <c r="E39" s="419" t="s">
        <v>434</v>
      </c>
      <c r="F39" s="419" t="s">
        <v>435</v>
      </c>
      <c r="G39" s="419" t="s">
        <v>436</v>
      </c>
      <c r="H39" s="419"/>
      <c r="I39" s="419" t="s">
        <v>487</v>
      </c>
      <c r="J39" s="419" t="s">
        <v>439</v>
      </c>
      <c r="K39" s="419" t="s">
        <v>488</v>
      </c>
      <c r="L39" s="419" t="s">
        <v>415</v>
      </c>
      <c r="Q39" s="470"/>
      <c r="R39" s="470"/>
      <c r="S39" s="480"/>
      <c r="T39" s="395"/>
      <c r="U39" s="485"/>
      <c r="V39" s="589" t="s">
        <v>515</v>
      </c>
      <c r="W39" s="220" t="s">
        <v>516</v>
      </c>
      <c r="X39" s="220" t="s">
        <v>491</v>
      </c>
      <c r="Y39" s="220" t="s">
        <v>443</v>
      </c>
      <c r="Z39" s="220" t="s">
        <v>444</v>
      </c>
      <c r="AA39" s="220"/>
      <c r="AB39" s="395"/>
      <c r="AC39" s="589" t="s">
        <v>515</v>
      </c>
      <c r="AD39" s="220" t="s">
        <v>516</v>
      </c>
      <c r="AE39" s="220" t="s">
        <v>491</v>
      </c>
      <c r="AF39" s="220" t="s">
        <v>443</v>
      </c>
      <c r="AG39" s="220" t="s">
        <v>444</v>
      </c>
      <c r="AH39" s="220"/>
      <c r="AI39" s="395"/>
      <c r="AJ39" s="482"/>
      <c r="AK39" s="138"/>
      <c r="AQ39" s="42" t="n">
        <v>86</v>
      </c>
    </row>
    <row r="40" s="124" customFormat="true" ht="14.35" hidden="false" customHeight="false" outlineLevel="0" collapsed="false">
      <c r="A40" s="144"/>
      <c r="B40" s="144"/>
      <c r="C40" s="144"/>
      <c r="D40" s="144"/>
      <c r="E40" s="144"/>
      <c r="F40" s="144"/>
      <c r="G40" s="144"/>
      <c r="H40" s="144"/>
      <c r="I40" s="144"/>
      <c r="J40" s="144"/>
      <c r="K40" s="144"/>
      <c r="L40" s="419"/>
      <c r="M40" s="53"/>
      <c r="N40" s="53"/>
      <c r="O40" s="53"/>
      <c r="P40" s="486"/>
      <c r="Q40" s="487"/>
      <c r="R40" s="488" t="n">
        <v>1</v>
      </c>
      <c r="S40" s="489" t="s">
        <v>107</v>
      </c>
      <c r="T40" s="490" t="s">
        <v>108</v>
      </c>
      <c r="U40" s="491" t="str">
        <f aca="true">OFFSET(U40,0,-1)</f>
        <v>2</v>
      </c>
      <c r="V40" s="492" t="n">
        <f aca="true">OFFSET(V40,0,-1)+1</f>
        <v>3</v>
      </c>
      <c r="W40" s="492" t="n">
        <f aca="true">OFFSET(W40,0,-1)+1</f>
        <v>4</v>
      </c>
      <c r="X40" s="492" t="n">
        <f aca="true">OFFSET(X40,0,-1)+1</f>
        <v>5</v>
      </c>
      <c r="Y40" s="492" t="n">
        <f aca="true">OFFSET(Y40,0,-1)+1</f>
        <v>6</v>
      </c>
      <c r="Z40" s="492" t="n">
        <f aca="true">OFFSET(Z40,0,-1)+1</f>
        <v>7</v>
      </c>
      <c r="AA40" s="492"/>
      <c r="AB40" s="492" t="n">
        <f aca="true">OFFSET(AB40,0,-2)+1</f>
        <v>8</v>
      </c>
      <c r="AC40" s="492" t="n">
        <f aca="true">OFFSET(AC40,0,-1)+1</f>
        <v>9</v>
      </c>
      <c r="AD40" s="492" t="n">
        <f aca="true">OFFSET(AD40,0,-1)+1</f>
        <v>10</v>
      </c>
      <c r="AE40" s="492" t="n">
        <f aca="true">OFFSET(AE40,0,-1)+1</f>
        <v>11</v>
      </c>
      <c r="AF40" s="492" t="n">
        <f aca="true">OFFSET(AF40,0,-1)+1</f>
        <v>12</v>
      </c>
      <c r="AG40" s="492" t="n">
        <f aca="true">OFFSET(AG40,0,-1)+1</f>
        <v>13</v>
      </c>
      <c r="AH40" s="492"/>
      <c r="AI40" s="492" t="n">
        <f aca="true">OFFSET(AI40,0,-2)+1</f>
        <v>14</v>
      </c>
      <c r="AJ40" s="491" t="n">
        <f aca="true">OFFSET(AJ40,0,-1)</f>
        <v>14</v>
      </c>
      <c r="AK40" s="492" t="n">
        <f aca="true">OFFSET(AK40,0,-1)+1</f>
        <v>15</v>
      </c>
      <c r="AL40" s="49"/>
      <c r="AM40" s="49"/>
      <c r="AN40" s="49"/>
      <c r="AO40" s="49"/>
      <c r="AP40" s="49"/>
      <c r="AQ40" s="124" t="n">
        <v>0</v>
      </c>
    </row>
    <row r="41" customFormat="false" ht="24" hidden="false" customHeight="true" outlineLevel="0" collapsed="false">
      <c r="A41" s="417" t="s">
        <v>268</v>
      </c>
      <c r="B41" s="417"/>
      <c r="C41" s="417"/>
      <c r="D41" s="417"/>
      <c r="E41" s="418" t="n">
        <v>1</v>
      </c>
      <c r="F41" s="417"/>
      <c r="G41" s="417"/>
      <c r="H41" s="417"/>
      <c r="I41" s="417"/>
      <c r="J41" s="417"/>
      <c r="K41" s="417"/>
      <c r="L41" s="419"/>
      <c r="M41" s="420"/>
      <c r="N41" s="420"/>
      <c r="O41" s="420"/>
      <c r="Q41" s="136"/>
      <c r="R41" s="421"/>
      <c r="S41" s="422" t="n">
        <f aca="false">INDEX(PT_DIFFERENTIATION_NUM_NTAR,MATCH(A41,PT_DIFFERENTIATION_NTAR_ID,0))</f>
        <v>0</v>
      </c>
      <c r="T41" s="423" t="s">
        <v>122</v>
      </c>
      <c r="U41" s="424"/>
      <c r="V41" s="425"/>
      <c r="W41" s="425"/>
      <c r="X41" s="425"/>
      <c r="Y41" s="425"/>
      <c r="Z41" s="425"/>
      <c r="AA41" s="425"/>
      <c r="AB41" s="425"/>
      <c r="AC41" s="425" t="str">
        <f aca="false">INDEX(PT_DIFFERENTIATION_NTAR,MATCH(A41,PT_DIFFERENTIATION_NTAR_ID,0))</f>
        <v/>
      </c>
      <c r="AD41" s="425"/>
      <c r="AE41" s="425"/>
      <c r="AF41" s="425"/>
      <c r="AG41" s="425"/>
      <c r="AH41" s="425"/>
      <c r="AI41" s="425"/>
      <c r="AJ41" s="425"/>
      <c r="AK41"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2"/>
      <c r="AN41" s="122" t="str">
        <f aca="false">IF(T41="","",T41)</f>
        <v>Наименование тарифа</v>
      </c>
      <c r="AO41" s="122"/>
      <c r="AP41" s="122"/>
      <c r="AQ41" s="42" t="n">
        <v>23</v>
      </c>
    </row>
    <row r="42" customFormat="false" ht="24" hidden="false" customHeight="true" outlineLevel="0" collapsed="false">
      <c r="A42" s="417" t="s">
        <v>268</v>
      </c>
      <c r="B42" s="417" t="s">
        <v>269</v>
      </c>
      <c r="C42" s="417"/>
      <c r="D42" s="417"/>
      <c r="E42" s="418"/>
      <c r="F42" s="418" t="n">
        <v>1</v>
      </c>
      <c r="G42" s="417"/>
      <c r="H42" s="417"/>
      <c r="I42" s="417"/>
      <c r="J42" s="417"/>
      <c r="K42" s="417"/>
      <c r="L42" s="419"/>
      <c r="M42" s="420"/>
      <c r="N42" s="420"/>
      <c r="O42" s="420"/>
      <c r="P42" s="43"/>
      <c r="Q42" s="428"/>
      <c r="R42" s="429"/>
      <c r="S42" s="422" t="str">
        <f aca="false">INDEX(PT_DIFFERENTIATION_NUM_TER,MATCH(B42,PT_DIFFERENTIATION_TER_ID,0))</f>
        <v>.</v>
      </c>
      <c r="T42" s="430" t="s">
        <v>394</v>
      </c>
      <c r="U42" s="424"/>
      <c r="V42" s="425"/>
      <c r="W42" s="425"/>
      <c r="X42" s="425"/>
      <c r="Y42" s="425"/>
      <c r="Z42" s="425"/>
      <c r="AA42" s="425"/>
      <c r="AB42" s="425"/>
      <c r="AC42" s="425" t="str">
        <f aca="false">INDEX(PT_DIFFERENTIATION_TER,MATCH(B42,PT_DIFFERENTIATION_TER_ID,0))</f>
        <v/>
      </c>
      <c r="AD42" s="425"/>
      <c r="AE42" s="425"/>
      <c r="AF42" s="425"/>
      <c r="AG42" s="425"/>
      <c r="AH42" s="425"/>
      <c r="AI42" s="425"/>
      <c r="AJ42" s="425"/>
      <c r="AK42" s="427" t="s">
        <v>395</v>
      </c>
      <c r="AM42" s="122"/>
      <c r="AN42" s="122" t="str">
        <f aca="false">IF(T42="","",T42)</f>
        <v>Территория действия тарифа</v>
      </c>
      <c r="AO42" s="122"/>
      <c r="AP42" s="122"/>
      <c r="AQ42" s="42" t="n">
        <v>23</v>
      </c>
    </row>
    <row r="43" customFormat="false" ht="24" hidden="false" customHeight="true" outlineLevel="0" collapsed="false">
      <c r="A43" s="417" t="s">
        <v>268</v>
      </c>
      <c r="B43" s="417" t="s">
        <v>269</v>
      </c>
      <c r="C43" s="417" t="s">
        <v>270</v>
      </c>
      <c r="D43" s="417"/>
      <c r="E43" s="418"/>
      <c r="F43" s="418"/>
      <c r="G43" s="418" t="n">
        <v>1</v>
      </c>
      <c r="H43" s="417"/>
      <c r="I43" s="417"/>
      <c r="J43" s="417"/>
      <c r="K43" s="417"/>
      <c r="L43" s="419"/>
      <c r="M43" s="420"/>
      <c r="N43" s="420"/>
      <c r="O43" s="420"/>
      <c r="P43" s="431"/>
      <c r="Q43" s="428"/>
      <c r="R43" s="429"/>
      <c r="S43" s="422" t="str">
        <f aca="false">INDEX(PT_DIFFERENTIATION_NUM_CS,MATCH(C43,PT_DIFFERENTIATION_CS_ID,0))</f>
        <v>..</v>
      </c>
      <c r="T43" s="432" t="s">
        <v>513</v>
      </c>
      <c r="U43" s="424"/>
      <c r="V43" s="425"/>
      <c r="W43" s="425"/>
      <c r="X43" s="425"/>
      <c r="Y43" s="425"/>
      <c r="Z43" s="425"/>
      <c r="AA43" s="425"/>
      <c r="AB43" s="425"/>
      <c r="AC43" s="425" t="str">
        <f aca="false">INDEX(PT_DIFFERENTIATION_CS,MATCH(C43,PT_DIFFERENTIATION_CS_ID,0))</f>
        <v/>
      </c>
      <c r="AD43" s="425"/>
      <c r="AE43" s="425"/>
      <c r="AF43" s="425"/>
      <c r="AG43" s="425"/>
      <c r="AH43" s="425"/>
      <c r="AI43" s="425"/>
      <c r="AJ43" s="425"/>
      <c r="AK43" s="427" t="s">
        <v>514</v>
      </c>
      <c r="AM43" s="122"/>
      <c r="AN43" s="122" t="str">
        <f aca="false">IF(T43="","",T43)</f>
        <v>Наименование централизованной системы водоотведения</v>
      </c>
      <c r="AO43" s="122"/>
      <c r="AP43" s="122"/>
      <c r="AQ43" s="42" t="n">
        <v>23</v>
      </c>
    </row>
    <row r="44" customFormat="false" ht="24" hidden="false" customHeight="true" outlineLevel="0" collapsed="false">
      <c r="A44" s="417" t="s">
        <v>268</v>
      </c>
      <c r="B44" s="417" t="s">
        <v>269</v>
      </c>
      <c r="C44" s="417" t="s">
        <v>270</v>
      </c>
      <c r="D44" s="417" t="s">
        <v>518</v>
      </c>
      <c r="E44" s="418"/>
      <c r="F44" s="418"/>
      <c r="G44" s="418"/>
      <c r="H44" s="580"/>
      <c r="I44" s="434" t="str">
        <f aca="false">S43&amp;".1"</f>
        <v>...1</v>
      </c>
      <c r="J44" s="417"/>
      <c r="K44" s="417"/>
      <c r="L44" s="419"/>
      <c r="P44" s="125" t="n">
        <v>1</v>
      </c>
      <c r="Q44" s="125"/>
      <c r="R44" s="435"/>
      <c r="S44" s="422" t="str">
        <f aca="false">$I44</f>
        <v>...1</v>
      </c>
      <c r="T44" s="436" t="s">
        <v>480</v>
      </c>
      <c r="U44" s="424"/>
      <c r="V44" s="581"/>
      <c r="W44" s="581"/>
      <c r="X44" s="581"/>
      <c r="Y44" s="581"/>
      <c r="Z44" s="581"/>
      <c r="AA44" s="581"/>
      <c r="AB44" s="581"/>
      <c r="AC44" s="333"/>
      <c r="AD44" s="333"/>
      <c r="AE44" s="333"/>
      <c r="AF44" s="333"/>
      <c r="AG44" s="333"/>
      <c r="AH44" s="333"/>
      <c r="AI44" s="333"/>
      <c r="AJ44" s="333"/>
      <c r="AK44" s="427" t="s">
        <v>481</v>
      </c>
      <c r="AM44" s="122"/>
      <c r="AN44" s="122" t="str">
        <f aca="false">IF(T44="","",T44)</f>
        <v>Наименование признака дифференциации</v>
      </c>
      <c r="AO44" s="122"/>
      <c r="AP44" s="122"/>
      <c r="AQ44" s="42" t="n">
        <v>23</v>
      </c>
    </row>
    <row r="45" customFormat="false" ht="24" hidden="false" customHeight="true" outlineLevel="0" collapsed="false">
      <c r="A45" s="417" t="s">
        <v>268</v>
      </c>
      <c r="B45" s="417" t="s">
        <v>269</v>
      </c>
      <c r="C45" s="417" t="s">
        <v>270</v>
      </c>
      <c r="D45" s="417" t="s">
        <v>518</v>
      </c>
      <c r="E45" s="418"/>
      <c r="F45" s="418"/>
      <c r="G45" s="418"/>
      <c r="H45" s="418"/>
      <c r="I45" s="434"/>
      <c r="J45" s="434" t="str">
        <f aca="false">I44&amp;".1"</f>
        <v>...1.1</v>
      </c>
      <c r="K45" s="417"/>
      <c r="L45" s="419" t="s">
        <v>403</v>
      </c>
      <c r="P45" s="125"/>
      <c r="Q45" s="125" t="n">
        <v>1</v>
      </c>
      <c r="R45" s="438"/>
      <c r="S45" s="422" t="str">
        <f aca="false">$J45</f>
        <v>...1.1</v>
      </c>
      <c r="T45" s="439" t="s">
        <v>404</v>
      </c>
      <c r="U45" s="424"/>
      <c r="V45" s="437"/>
      <c r="W45" s="437"/>
      <c r="X45" s="437"/>
      <c r="Y45" s="437"/>
      <c r="Z45" s="437"/>
      <c r="AA45" s="437"/>
      <c r="AB45" s="437"/>
      <c r="AC45" s="437"/>
      <c r="AD45" s="437"/>
      <c r="AE45" s="437"/>
      <c r="AF45" s="437"/>
      <c r="AG45" s="437"/>
      <c r="AH45" s="437"/>
      <c r="AI45" s="437"/>
      <c r="AJ45" s="437"/>
      <c r="AK45" s="532" t="s">
        <v>482</v>
      </c>
      <c r="AM45" s="122"/>
      <c r="AN45" s="122" t="str">
        <f aca="false">IF(T45="","",T45)</f>
        <v>Группа потребителей</v>
      </c>
      <c r="AO45" s="122"/>
      <c r="AP45" s="122"/>
      <c r="AQ45" s="42" t="n">
        <v>23</v>
      </c>
    </row>
    <row r="46" customFormat="false" ht="24" hidden="false" customHeight="true" outlineLevel="0" collapsed="false">
      <c r="A46" s="417" t="s">
        <v>268</v>
      </c>
      <c r="B46" s="417" t="s">
        <v>269</v>
      </c>
      <c r="C46" s="417" t="s">
        <v>270</v>
      </c>
      <c r="D46" s="417" t="s">
        <v>518</v>
      </c>
      <c r="E46" s="418"/>
      <c r="F46" s="418"/>
      <c r="G46" s="418"/>
      <c r="H46" s="418"/>
      <c r="I46" s="434"/>
      <c r="J46" s="434"/>
      <c r="K46" s="434" t="str">
        <f aca="false">J45&amp;".1"</f>
        <v>...1.1.1</v>
      </c>
      <c r="L46" s="419"/>
      <c r="P46" s="125"/>
      <c r="Q46" s="125"/>
      <c r="R46" s="438" t="n">
        <v>1</v>
      </c>
      <c r="S46" s="422" t="str">
        <f aca="false">$K46</f>
        <v>...1.1.1</v>
      </c>
      <c r="T46" s="582"/>
      <c r="U46" s="424"/>
      <c r="V46" s="464"/>
      <c r="W46" s="464"/>
      <c r="X46" s="465"/>
      <c r="Y46" s="466"/>
      <c r="Z46" s="467" t="s">
        <v>64</v>
      </c>
      <c r="AA46" s="466"/>
      <c r="AB46" s="467" t="s">
        <v>64</v>
      </c>
      <c r="AC46" s="441"/>
      <c r="AD46" s="441"/>
      <c r="AE46" s="443"/>
      <c r="AF46" s="444"/>
      <c r="AG46" s="206" t="s">
        <v>64</v>
      </c>
      <c r="AH46" s="444"/>
      <c r="AI46" s="206" t="s">
        <v>19</v>
      </c>
      <c r="AJ46" s="583"/>
      <c r="AK46"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2"/>
      <c r="AN46" s="122" t="str">
        <f aca="false">IF(T46="","",T46)</f>
        <v/>
      </c>
      <c r="AO46" s="122"/>
      <c r="AP46" s="122"/>
      <c r="AQ46" s="42" t="n">
        <v>23</v>
      </c>
    </row>
    <row r="47" customFormat="false" ht="14.35" hidden="false" customHeight="false" outlineLevel="0" collapsed="false">
      <c r="A47" s="417" t="s">
        <v>268</v>
      </c>
      <c r="B47" s="417" t="s">
        <v>269</v>
      </c>
      <c r="C47" s="417" t="s">
        <v>270</v>
      </c>
      <c r="D47" s="417" t="s">
        <v>518</v>
      </c>
      <c r="E47" s="418"/>
      <c r="F47" s="418"/>
      <c r="G47" s="418"/>
      <c r="H47" s="418"/>
      <c r="I47" s="434"/>
      <c r="J47" s="434"/>
      <c r="K47" s="434"/>
      <c r="L47" s="419"/>
      <c r="P47" s="125"/>
      <c r="Q47" s="125"/>
      <c r="R47" s="438"/>
      <c r="S47" s="397"/>
      <c r="T47" s="424"/>
      <c r="U47" s="424"/>
      <c r="V47" s="464"/>
      <c r="W47" s="464"/>
      <c r="X47" s="446" t="str">
        <f aca="false">Y46&amp;"-"&amp;AA46</f>
        <v>-</v>
      </c>
      <c r="Y47" s="466"/>
      <c r="Z47" s="466"/>
      <c r="AA47" s="466"/>
      <c r="AB47" s="466"/>
      <c r="AC47" s="442"/>
      <c r="AD47" s="442"/>
      <c r="AE47" s="446" t="str">
        <f aca="false">AF46&amp;"-"&amp;AH46</f>
        <v>-</v>
      </c>
      <c r="AF47" s="444"/>
      <c r="AG47" s="206"/>
      <c r="AH47" s="444"/>
      <c r="AI47" s="206"/>
      <c r="AJ47" s="585"/>
      <c r="AK47" s="445"/>
      <c r="AM47" s="122"/>
      <c r="AN47" s="122" t="str">
        <f aca="false">IF(T47="","",T47)</f>
        <v/>
      </c>
      <c r="AO47" s="122"/>
      <c r="AP47" s="122"/>
      <c r="AQ47" s="42" t="n">
        <v>0</v>
      </c>
    </row>
    <row r="48" customFormat="false" ht="21" hidden="false" customHeight="true" outlineLevel="0" collapsed="false">
      <c r="A48" s="417" t="s">
        <v>268</v>
      </c>
      <c r="B48" s="417" t="s">
        <v>269</v>
      </c>
      <c r="C48" s="417" t="s">
        <v>270</v>
      </c>
      <c r="D48" s="417" t="s">
        <v>518</v>
      </c>
      <c r="E48" s="418"/>
      <c r="F48" s="418"/>
      <c r="G48" s="418"/>
      <c r="H48" s="418"/>
      <c r="I48" s="434"/>
      <c r="J48" s="434"/>
      <c r="K48" s="417"/>
      <c r="L48" s="419"/>
      <c r="P48" s="125"/>
      <c r="Q48" s="125"/>
      <c r="R48" s="435"/>
      <c r="S48" s="447"/>
      <c r="T48" s="450" t="s">
        <v>483</v>
      </c>
      <c r="U48" s="196"/>
      <c r="V48" s="196"/>
      <c r="W48" s="196"/>
      <c r="X48" s="196"/>
      <c r="Y48" s="196"/>
      <c r="Z48" s="196"/>
      <c r="AA48" s="196"/>
      <c r="AB48" s="196"/>
      <c r="AC48" s="196"/>
      <c r="AD48" s="196"/>
      <c r="AE48" s="196"/>
      <c r="AF48" s="196"/>
      <c r="AG48" s="196"/>
      <c r="AH48" s="196"/>
      <c r="AI48" s="196"/>
      <c r="AJ48" s="196"/>
      <c r="AK48" s="427" t="s">
        <v>484</v>
      </c>
      <c r="AM48" s="122"/>
      <c r="AN48" s="122" t="str">
        <f aca="false">IF(T48="","",T48)</f>
        <v>Добавить значение признака дифференциации</v>
      </c>
      <c r="AO48" s="122"/>
      <c r="AP48" s="122"/>
      <c r="AQ48" s="42" t="n">
        <v>20</v>
      </c>
    </row>
    <row r="49" customFormat="false" ht="21.75" hidden="false" customHeight="true" outlineLevel="0" collapsed="false">
      <c r="A49" s="417" t="s">
        <v>268</v>
      </c>
      <c r="B49" s="417" t="s">
        <v>269</v>
      </c>
      <c r="C49" s="417" t="s">
        <v>270</v>
      </c>
      <c r="D49" s="417" t="s">
        <v>518</v>
      </c>
      <c r="E49" s="418"/>
      <c r="F49" s="418"/>
      <c r="G49" s="418"/>
      <c r="H49" s="418"/>
      <c r="I49" s="434"/>
      <c r="J49" s="417"/>
      <c r="K49" s="417"/>
      <c r="L49" s="419"/>
      <c r="P49" s="125"/>
      <c r="Q49" s="125"/>
      <c r="R49" s="435"/>
      <c r="S49" s="447"/>
      <c r="T49" s="454" t="s">
        <v>409</v>
      </c>
      <c r="U49" s="196"/>
      <c r="V49" s="196"/>
      <c r="W49" s="196"/>
      <c r="X49" s="196"/>
      <c r="Y49" s="196"/>
      <c r="Z49" s="196"/>
      <c r="AA49" s="196"/>
      <c r="AB49" s="451"/>
      <c r="AC49" s="196"/>
      <c r="AD49" s="196"/>
      <c r="AE49" s="196"/>
      <c r="AF49" s="196"/>
      <c r="AG49" s="196"/>
      <c r="AH49" s="196"/>
      <c r="AI49" s="451"/>
      <c r="AJ49" s="196"/>
      <c r="AK49" s="586"/>
      <c r="AM49" s="122"/>
      <c r="AN49" s="122" t="str">
        <f aca="false">IF(T49="","",T49)</f>
        <v>Добавить группу потребителей</v>
      </c>
      <c r="AO49" s="122"/>
      <c r="AP49" s="122"/>
      <c r="AQ49" s="42" t="n">
        <v>21</v>
      </c>
    </row>
    <row r="50" customFormat="false" ht="21.75" hidden="false" customHeight="true" outlineLevel="0" collapsed="false">
      <c r="A50" s="417" t="s">
        <v>268</v>
      </c>
      <c r="B50" s="417" t="s">
        <v>269</v>
      </c>
      <c r="C50" s="417" t="s">
        <v>270</v>
      </c>
      <c r="D50" s="417" t="s">
        <v>518</v>
      </c>
      <c r="E50" s="418"/>
      <c r="F50" s="418"/>
      <c r="G50" s="418"/>
      <c r="H50" s="580"/>
      <c r="I50" s="417"/>
      <c r="J50" s="417"/>
      <c r="K50" s="417"/>
      <c r="L50" s="419"/>
      <c r="M50" s="420"/>
      <c r="N50" s="420"/>
      <c r="O50" s="45"/>
      <c r="P50" s="136"/>
      <c r="Q50" s="453"/>
      <c r="R50" s="421"/>
      <c r="S50" s="447"/>
      <c r="T50" s="587" t="s">
        <v>485</v>
      </c>
      <c r="U50" s="196"/>
      <c r="V50" s="196"/>
      <c r="W50" s="196"/>
      <c r="X50" s="196"/>
      <c r="Y50" s="196"/>
      <c r="Z50" s="196"/>
      <c r="AA50" s="196"/>
      <c r="AB50" s="451"/>
      <c r="AC50" s="196"/>
      <c r="AD50" s="196"/>
      <c r="AE50" s="196"/>
      <c r="AF50" s="196"/>
      <c r="AG50" s="196"/>
      <c r="AH50" s="196"/>
      <c r="AI50" s="451"/>
      <c r="AJ50" s="196"/>
      <c r="AK50" s="452"/>
      <c r="AM50" s="122"/>
      <c r="AN50" s="122" t="str">
        <f aca="false">IF(T50="","",T50)</f>
        <v>Добавить наименование признака дифференциации</v>
      </c>
      <c r="AO50" s="122"/>
      <c r="AP50" s="122"/>
      <c r="AQ50" s="42" t="n">
        <v>21</v>
      </c>
    </row>
    <row r="51" s="49" customFormat="true" ht="14.35" hidden="false" customHeight="false" outlineLevel="0" collapsed="false">
      <c r="A51" s="126" t="s">
        <v>268</v>
      </c>
      <c r="B51" s="126" t="s">
        <v>269</v>
      </c>
      <c r="C51" s="126"/>
      <c r="D51" s="126"/>
      <c r="E51" s="418"/>
      <c r="F51" s="418"/>
      <c r="G51" s="126"/>
      <c r="H51" s="126"/>
      <c r="I51" s="126"/>
      <c r="J51" s="126"/>
      <c r="K51" s="126"/>
      <c r="L51" s="194"/>
      <c r="M51" s="459"/>
      <c r="N51" s="459"/>
      <c r="P51" s="160"/>
      <c r="Q51" s="455"/>
      <c r="R51" s="160"/>
      <c r="S51" s="460"/>
      <c r="T51" s="463" t="s">
        <v>412</v>
      </c>
      <c r="U51" s="462"/>
      <c r="V51" s="462"/>
      <c r="W51" s="462"/>
      <c r="X51" s="462"/>
      <c r="Y51" s="462"/>
      <c r="Z51" s="462"/>
      <c r="AA51" s="462"/>
      <c r="AB51" s="462"/>
      <c r="AC51" s="462"/>
      <c r="AD51" s="462"/>
      <c r="AE51" s="462"/>
      <c r="AF51" s="462"/>
      <c r="AG51" s="462"/>
      <c r="AH51" s="462"/>
      <c r="AI51" s="462"/>
      <c r="AJ51" s="462"/>
      <c r="AK51" s="462"/>
      <c r="AM51" s="122"/>
      <c r="AN51" s="122" t="str">
        <f aca="false">IF(T51="","",T51)</f>
        <v>Добавить централизованную систему для дифференциации</v>
      </c>
      <c r="AO51" s="122"/>
      <c r="AP51" s="122"/>
      <c r="AQ51" s="49" t="n">
        <v>0</v>
      </c>
    </row>
    <row r="52" s="49" customFormat="true" ht="14.35" hidden="false" customHeight="false" outlineLevel="0" collapsed="false">
      <c r="A52" s="126" t="s">
        <v>268</v>
      </c>
      <c r="B52" s="126"/>
      <c r="C52" s="126"/>
      <c r="D52" s="126"/>
      <c r="E52" s="418"/>
      <c r="F52" s="126"/>
      <c r="G52" s="126"/>
      <c r="H52" s="126"/>
      <c r="I52" s="126"/>
      <c r="J52" s="126"/>
      <c r="K52" s="126"/>
      <c r="L52" s="194"/>
      <c r="M52" s="459"/>
      <c r="N52" s="459"/>
      <c r="P52" s="160"/>
      <c r="Q52" s="455"/>
      <c r="R52" s="160"/>
      <c r="S52" s="460"/>
      <c r="T52" s="463" t="s">
        <v>413</v>
      </c>
      <c r="U52" s="462"/>
      <c r="V52" s="462"/>
      <c r="W52" s="462"/>
      <c r="X52" s="462"/>
      <c r="Y52" s="462"/>
      <c r="Z52" s="462"/>
      <c r="AA52" s="462"/>
      <c r="AB52" s="462"/>
      <c r="AC52" s="462"/>
      <c r="AD52" s="462"/>
      <c r="AE52" s="462"/>
      <c r="AF52" s="462"/>
      <c r="AG52" s="462"/>
      <c r="AH52" s="462"/>
      <c r="AI52" s="462"/>
      <c r="AJ52" s="462"/>
      <c r="AK52" s="462"/>
      <c r="AM52" s="122"/>
      <c r="AN52" s="122" t="str">
        <f aca="false">IF(T52="","",T52)</f>
        <v>Добавить территорию для дифференциации</v>
      </c>
      <c r="AO52" s="122"/>
      <c r="AP52" s="122"/>
      <c r="AQ52" s="49" t="n">
        <v>0</v>
      </c>
    </row>
    <row r="53" s="49" customFormat="true" ht="14.35" hidden="false" customHeight="false" outlineLevel="0" collapsed="false">
      <c r="A53" s="126"/>
      <c r="B53" s="126"/>
      <c r="C53" s="126"/>
      <c r="D53" s="126"/>
      <c r="E53" s="126"/>
      <c r="F53" s="126"/>
      <c r="G53" s="126"/>
      <c r="H53" s="126"/>
      <c r="I53" s="126"/>
      <c r="J53" s="126"/>
      <c r="K53" s="126"/>
      <c r="L53" s="194"/>
      <c r="M53" s="459"/>
      <c r="N53" s="459"/>
      <c r="P53" s="160"/>
      <c r="Q53" s="455"/>
      <c r="R53" s="160"/>
      <c r="S53" s="460"/>
      <c r="T53" s="463" t="s">
        <v>445</v>
      </c>
      <c r="U53" s="462"/>
      <c r="V53" s="462"/>
      <c r="W53" s="462"/>
      <c r="X53" s="462"/>
      <c r="Y53" s="462"/>
      <c r="Z53" s="462"/>
      <c r="AA53" s="462"/>
      <c r="AB53" s="462"/>
      <c r="AC53" s="462"/>
      <c r="AD53" s="462"/>
      <c r="AE53" s="462"/>
      <c r="AF53" s="462"/>
      <c r="AG53" s="462"/>
      <c r="AH53" s="462"/>
      <c r="AI53" s="462"/>
      <c r="AJ53" s="462"/>
      <c r="AK53" s="462"/>
      <c r="AM53" s="122"/>
      <c r="AN53" s="122" t="str">
        <f aca="false">IF(T53="","",T53)</f>
        <v>Добавить наименование тарифа</v>
      </c>
      <c r="AO53" s="122"/>
      <c r="AP53" s="122"/>
      <c r="AQ53" s="49"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4"/>
      <c r="T55" s="495"/>
      <c r="U55" s="495"/>
      <c r="V55" s="495"/>
      <c r="W55" s="495"/>
      <c r="X55" s="495"/>
      <c r="Y55" s="495"/>
      <c r="Z55" s="495"/>
      <c r="AA55" s="495"/>
      <c r="AB55" s="495"/>
      <c r="AC55" s="495"/>
      <c r="AD55" s="495"/>
      <c r="AE55" s="495"/>
      <c r="AF55" s="495"/>
      <c r="AG55" s="495"/>
      <c r="AH55" s="495"/>
      <c r="AI55" s="495"/>
      <c r="AJ55" s="495"/>
      <c r="AK55" s="495"/>
      <c r="AQ55" s="42" t="n">
        <v>14</v>
      </c>
    </row>
    <row r="56" customFormat="false" ht="14.25" hidden="false" customHeight="true" outlineLevel="0" collapsed="false">
      <c r="O56" s="45"/>
      <c r="AQ56" s="42" t="n">
        <v>14</v>
      </c>
    </row>
    <row r="57" customFormat="false" ht="14.25" hidden="false" customHeight="true" outlineLevel="0" collapsed="false">
      <c r="O57" s="45"/>
      <c r="S57" s="414"/>
      <c r="T57" s="495"/>
      <c r="U57" s="495"/>
      <c r="V57" s="495"/>
      <c r="W57" s="495"/>
      <c r="X57" s="495"/>
      <c r="Y57" s="495"/>
      <c r="Z57" s="495"/>
      <c r="AA57" s="495"/>
      <c r="AB57" s="495"/>
      <c r="AC57" s="495"/>
      <c r="AD57" s="495"/>
      <c r="AE57" s="495"/>
      <c r="AF57" s="495"/>
      <c r="AG57" s="495"/>
      <c r="AH57" s="495"/>
      <c r="AI57" s="495"/>
      <c r="AJ57" s="495"/>
      <c r="AK57" s="495"/>
      <c r="AQ57" s="42" t="n">
        <v>14</v>
      </c>
    </row>
    <row r="58" customFormat="false" ht="22.5" hidden="true" customHeight="true" outlineLevel="0" collapsed="false">
      <c r="A58" s="45" t="s">
        <v>80</v>
      </c>
      <c r="B58" s="45" t="n">
        <v>0</v>
      </c>
      <c r="C58" s="45" t="n">
        <v>0</v>
      </c>
      <c r="D58" s="45" t="n">
        <v>0</v>
      </c>
      <c r="E58" s="45" t="n">
        <v>0</v>
      </c>
      <c r="F58" s="45" t="n">
        <v>0</v>
      </c>
      <c r="G58" s="45" t="n">
        <v>0</v>
      </c>
      <c r="H58" s="45" t="n">
        <v>0</v>
      </c>
      <c r="I58" s="45" t="n">
        <v>0</v>
      </c>
      <c r="J58" s="45" t="n">
        <v>0</v>
      </c>
      <c r="K58" s="45" t="n">
        <v>0</v>
      </c>
      <c r="L58" s="107" t="n">
        <v>0</v>
      </c>
      <c r="M58" s="53" t="n">
        <v>0</v>
      </c>
      <c r="N58" s="53" t="n">
        <v>0</v>
      </c>
      <c r="O58" s="53" t="n">
        <v>0</v>
      </c>
      <c r="P58" s="52" t="n">
        <v>3</v>
      </c>
      <c r="Q58" s="416" t="n">
        <v>3</v>
      </c>
      <c r="R58" s="416" t="n">
        <v>3</v>
      </c>
      <c r="S58" s="77"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9" t="n">
        <v>10</v>
      </c>
      <c r="AM58" s="49" t="n">
        <v>10</v>
      </c>
      <c r="AN58" s="49" t="n">
        <v>10</v>
      </c>
      <c r="AO58" s="49" t="n">
        <v>10</v>
      </c>
      <c r="AP58" s="49"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9" width="3.71"/>
    <col collapsed="false" customWidth="true" hidden="false" outlineLevel="0" max="18" min="18"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9"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56"/>
      <c r="R2" s="421"/>
      <c r="S2" s="422" t="e">
        <f aca="false">INDEX(PT_DIFFERENTIATION_NUM_NTAR,MATCH(A2,PT_DIFFERENTIATION_NTAR_ID,0))</f>
        <v>#N/A</v>
      </c>
      <c r="T2" s="423" t="s">
        <v>122</v>
      </c>
      <c r="U2" s="424"/>
      <c r="V2" s="591"/>
      <c r="W2" s="591"/>
      <c r="X2" s="591"/>
      <c r="Y2" s="591"/>
      <c r="Z2" s="591"/>
      <c r="AA2" s="591"/>
      <c r="AB2" s="591"/>
      <c r="AC2" s="591"/>
      <c r="AD2" s="426" t="e">
        <f aca="false">INDEX(PT_DIFFERENTIATION_NTAR,MATCH(A2,PT_DIFFERENTIATION_NTAR_ID,0))</f>
        <v>#N/A</v>
      </c>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2"/>
      <c r="BF2" s="122" t="str">
        <f aca="false">IF(T2="","",T2)</f>
        <v>Наименование тарифа</v>
      </c>
      <c r="BG2" s="122"/>
      <c r="BH2" s="122"/>
      <c r="BI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107"/>
      <c r="Q3" s="542"/>
      <c r="R3" s="429"/>
      <c r="S3" s="422" t="e">
        <f aca="false">INDEX(PT_DIFFERENTIATION_NUM_TER,MATCH(B3,PT_DIFFERENTIATION_TER_ID,0))</f>
        <v>#N/A</v>
      </c>
      <c r="T3" s="430" t="s">
        <v>394</v>
      </c>
      <c r="U3" s="424"/>
      <c r="V3" s="591"/>
      <c r="W3" s="591"/>
      <c r="X3" s="591"/>
      <c r="Y3" s="591"/>
      <c r="Z3" s="591"/>
      <c r="AA3" s="591"/>
      <c r="AB3" s="591"/>
      <c r="AC3" s="591"/>
      <c r="AD3" s="426" t="e">
        <f aca="false">INDEX(PT_DIFFERENTIATION_TER,MATCH(B3,PT_DIFFERENTIATION_TER_ID,0))</f>
        <v>#N/A</v>
      </c>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7" t="s">
        <v>395</v>
      </c>
      <c r="BE3" s="122"/>
      <c r="BF3" s="122" t="str">
        <f aca="false">IF(T3="","",T3)</f>
        <v>Территория действия тарифа</v>
      </c>
      <c r="BG3" s="122"/>
      <c r="BH3" s="122"/>
      <c r="BI3" s="42" t="n">
        <v>0</v>
      </c>
    </row>
    <row r="4" customFormat="false" ht="33.75" hidden="true" customHeight="true" outlineLevel="0" collapsed="false">
      <c r="A4" s="417"/>
      <c r="B4" s="417"/>
      <c r="C4" s="417"/>
      <c r="D4" s="417"/>
      <c r="E4" s="418"/>
      <c r="F4" s="418"/>
      <c r="G4" s="418" t="n">
        <v>1</v>
      </c>
      <c r="H4" s="417"/>
      <c r="I4" s="417"/>
      <c r="J4" s="417"/>
      <c r="K4" s="417"/>
      <c r="L4" s="419"/>
      <c r="M4" s="420"/>
      <c r="N4" s="420"/>
      <c r="O4" s="420"/>
      <c r="P4" s="131"/>
      <c r="Q4" s="542"/>
      <c r="R4" s="429"/>
      <c r="S4" s="422" t="e">
        <f aca="false">INDEX(PT_DIFFERENTIATION_NUM_CS,MATCH(C4,PT_DIFFERENTIATION_CS_ID,0))</f>
        <v>#N/A</v>
      </c>
      <c r="T4" s="432" t="s">
        <v>513</v>
      </c>
      <c r="U4" s="424"/>
      <c r="V4" s="591"/>
      <c r="W4" s="591"/>
      <c r="X4" s="591"/>
      <c r="Y4" s="591"/>
      <c r="Z4" s="591"/>
      <c r="AA4" s="591"/>
      <c r="AB4" s="591"/>
      <c r="AC4" s="591"/>
      <c r="AD4" s="426" t="e">
        <f aca="false">INDEX(PT_DIFFERENTIATION_CS,MATCH(C4,PT_DIFFERENTIATION_CS_ID,0))</f>
        <v>#N/A</v>
      </c>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7" t="s">
        <v>514</v>
      </c>
      <c r="BE4" s="122"/>
      <c r="BF4" s="122" t="str">
        <f aca="false">IF(T4="","",T4)</f>
        <v>Наименование централизованной системы водоотведения</v>
      </c>
      <c r="BG4" s="122"/>
      <c r="BH4" s="122"/>
      <c r="BI4" s="42" t="n">
        <v>0</v>
      </c>
    </row>
    <row r="5" s="49" customFormat="true" ht="14.25" hidden="true" customHeight="true" outlineLevel="0" collapsed="false">
      <c r="A5" s="126"/>
      <c r="B5" s="126"/>
      <c r="C5" s="126"/>
      <c r="D5" s="126"/>
      <c r="E5" s="418"/>
      <c r="F5" s="418"/>
      <c r="G5" s="418"/>
      <c r="H5" s="418" t="n">
        <v>1</v>
      </c>
      <c r="I5" s="126"/>
      <c r="J5" s="126"/>
      <c r="K5" s="126"/>
      <c r="L5" s="194"/>
      <c r="M5" s="402"/>
      <c r="N5" s="402"/>
      <c r="O5" s="402"/>
      <c r="P5" s="601"/>
      <c r="Q5" s="602"/>
      <c r="R5" s="438"/>
      <c r="S5" s="299"/>
      <c r="T5" s="603"/>
      <c r="U5" s="508"/>
      <c r="V5" s="543"/>
      <c r="W5" s="543"/>
      <c r="X5" s="543"/>
      <c r="Y5" s="543"/>
      <c r="Z5" s="543"/>
      <c r="AA5" s="543"/>
      <c r="AB5" s="543"/>
      <c r="AC5" s="543"/>
      <c r="AD5" s="509"/>
      <c r="AE5" s="509"/>
      <c r="AF5" s="509"/>
      <c r="AG5" s="509"/>
      <c r="AH5" s="509"/>
      <c r="AI5" s="509"/>
      <c r="AJ5" s="509"/>
      <c r="AK5" s="509"/>
      <c r="AL5" s="509"/>
      <c r="AM5" s="509"/>
      <c r="AN5" s="509"/>
      <c r="AO5" s="509"/>
      <c r="AP5" s="509"/>
      <c r="AQ5" s="509"/>
      <c r="AR5" s="509"/>
      <c r="AS5" s="509"/>
      <c r="AT5" s="509"/>
      <c r="AU5" s="509"/>
      <c r="AV5" s="509"/>
      <c r="AW5" s="509"/>
      <c r="AX5" s="509"/>
      <c r="AY5" s="509"/>
      <c r="AZ5" s="509"/>
      <c r="BA5" s="509"/>
      <c r="BB5" s="509"/>
      <c r="BC5" s="510" t="s">
        <v>399</v>
      </c>
      <c r="BE5" s="122"/>
      <c r="BF5" s="122" t="str">
        <f aca="false">IF(T5="","",T5)</f>
        <v/>
      </c>
      <c r="BG5" s="122"/>
      <c r="BH5" s="122"/>
      <c r="BI5" s="49" t="n">
        <v>0</v>
      </c>
    </row>
    <row r="6" s="49" customFormat="true" ht="14.25" hidden="true" customHeight="true" outlineLevel="0" collapsed="false">
      <c r="A6" s="126"/>
      <c r="B6" s="126"/>
      <c r="C6" s="126"/>
      <c r="D6" s="126"/>
      <c r="E6" s="418"/>
      <c r="F6" s="418"/>
      <c r="G6" s="418"/>
      <c r="H6" s="418"/>
      <c r="I6" s="434" t="str">
        <f aca="false">S5&amp;".1"</f>
        <v>.1</v>
      </c>
      <c r="J6" s="126"/>
      <c r="K6" s="126"/>
      <c r="L6" s="194" t="s">
        <v>400</v>
      </c>
      <c r="M6" s="515"/>
      <c r="N6" s="515"/>
      <c r="O6" s="515"/>
      <c r="P6" s="125" t="n">
        <v>1</v>
      </c>
      <c r="Q6" s="125"/>
      <c r="R6" s="435"/>
      <c r="S6" s="299"/>
      <c r="T6" s="507"/>
      <c r="U6" s="508"/>
      <c r="V6" s="543"/>
      <c r="W6" s="543"/>
      <c r="X6" s="543"/>
      <c r="Y6" s="543"/>
      <c r="Z6" s="543"/>
      <c r="AA6" s="543"/>
      <c r="AB6" s="543"/>
      <c r="AC6" s="543"/>
      <c r="AD6" s="509"/>
      <c r="AE6" s="509"/>
      <c r="AF6" s="509"/>
      <c r="AG6" s="509"/>
      <c r="AH6" s="509"/>
      <c r="AI6" s="509"/>
      <c r="AJ6" s="509"/>
      <c r="AK6" s="509"/>
      <c r="AL6" s="509"/>
      <c r="AM6" s="509"/>
      <c r="AN6" s="509"/>
      <c r="AO6" s="509"/>
      <c r="AP6" s="509"/>
      <c r="AQ6" s="509"/>
      <c r="AR6" s="509"/>
      <c r="AS6" s="509"/>
      <c r="AT6" s="509"/>
      <c r="AU6" s="509"/>
      <c r="AV6" s="509"/>
      <c r="AW6" s="509"/>
      <c r="AX6" s="509"/>
      <c r="AY6" s="509"/>
      <c r="AZ6" s="509"/>
      <c r="BA6" s="509"/>
      <c r="BB6" s="509"/>
      <c r="BC6" s="510"/>
      <c r="BE6" s="122"/>
      <c r="BF6" s="122" t="str">
        <f aca="false">IF(T6="","",T6)</f>
        <v/>
      </c>
      <c r="BG6" s="122"/>
      <c r="BH6" s="122"/>
      <c r="BI6" s="49" t="n">
        <v>0</v>
      </c>
    </row>
    <row r="7" s="49" customFormat="true" ht="14.25" hidden="true" customHeight="true" outlineLevel="0" collapsed="false">
      <c r="A7" s="126"/>
      <c r="B7" s="126"/>
      <c r="C7" s="126"/>
      <c r="D7" s="126"/>
      <c r="E7" s="418"/>
      <c r="F7" s="418"/>
      <c r="G7" s="418"/>
      <c r="H7" s="418"/>
      <c r="I7" s="434"/>
      <c r="J7" s="434" t="str">
        <f aca="false">S5&amp;".1"</f>
        <v>.1</v>
      </c>
      <c r="K7" s="126"/>
      <c r="L7" s="194"/>
      <c r="M7" s="515"/>
      <c r="N7" s="515"/>
      <c r="O7" s="515"/>
      <c r="P7" s="125"/>
      <c r="Q7" s="125" t="n">
        <v>1</v>
      </c>
      <c r="R7" s="438"/>
      <c r="S7" s="299"/>
      <c r="T7" s="544"/>
      <c r="U7" s="508"/>
      <c r="V7" s="543"/>
      <c r="W7" s="543"/>
      <c r="X7" s="543"/>
      <c r="Y7" s="543"/>
      <c r="Z7" s="543"/>
      <c r="AA7" s="543"/>
      <c r="AB7" s="543"/>
      <c r="AC7" s="543"/>
      <c r="AD7" s="509"/>
      <c r="AE7" s="509"/>
      <c r="AF7" s="509"/>
      <c r="AG7" s="509"/>
      <c r="AH7" s="509"/>
      <c r="AI7" s="509"/>
      <c r="AJ7" s="509"/>
      <c r="AK7" s="509"/>
      <c r="AL7" s="509"/>
      <c r="AM7" s="509"/>
      <c r="AN7" s="509"/>
      <c r="AO7" s="509"/>
      <c r="AP7" s="509"/>
      <c r="AQ7" s="509"/>
      <c r="AR7" s="509"/>
      <c r="AS7" s="509"/>
      <c r="AT7" s="509"/>
      <c r="AU7" s="509"/>
      <c r="AV7" s="509"/>
      <c r="AW7" s="509"/>
      <c r="AX7" s="509"/>
      <c r="AY7" s="509"/>
      <c r="AZ7" s="509"/>
      <c r="BA7" s="509"/>
      <c r="BB7" s="509"/>
      <c r="BC7" s="510"/>
      <c r="BE7" s="122"/>
      <c r="BF7" s="122" t="str">
        <f aca="false">IF(T7="","",T7)</f>
        <v/>
      </c>
      <c r="BG7" s="122"/>
      <c r="BH7" s="122"/>
      <c r="BI7" s="49" t="n">
        <v>0</v>
      </c>
    </row>
    <row r="8" customFormat="false" ht="11.25" hidden="true" customHeight="true" outlineLevel="0" collapsed="false">
      <c r="A8" s="417"/>
      <c r="B8" s="417"/>
      <c r="C8" s="417"/>
      <c r="D8" s="417"/>
      <c r="E8" s="418"/>
      <c r="F8" s="418"/>
      <c r="G8" s="418"/>
      <c r="H8" s="418"/>
      <c r="I8" s="434"/>
      <c r="J8" s="434"/>
      <c r="K8" s="434" t="e">
        <f aca="false">S4&amp;".1"</f>
        <v>#N/A</v>
      </c>
      <c r="L8" s="419"/>
      <c r="P8" s="125"/>
      <c r="Q8" s="125"/>
      <c r="R8" s="545" t="n">
        <v>1</v>
      </c>
      <c r="S8" s="480" t="e">
        <f aca="false">$K8</f>
        <v>#N/A</v>
      </c>
      <c r="T8" s="582"/>
      <c r="U8" s="424"/>
      <c r="V8" s="441"/>
      <c r="W8" s="443"/>
      <c r="X8" s="441"/>
      <c r="Y8" s="443"/>
      <c r="Z8" s="444"/>
      <c r="AA8" s="206" t="s">
        <v>64</v>
      </c>
      <c r="AB8" s="444"/>
      <c r="AC8" s="206" t="s">
        <v>64</v>
      </c>
      <c r="AD8" s="206" t="s">
        <v>64</v>
      </c>
      <c r="AE8" s="547"/>
      <c r="AF8" s="295" t="n">
        <v>1</v>
      </c>
      <c r="AG8" s="595"/>
      <c r="AH8" s="206" t="s">
        <v>64</v>
      </c>
      <c r="AI8" s="547"/>
      <c r="AJ8" s="295" t="n">
        <v>1</v>
      </c>
      <c r="AK8" s="78"/>
      <c r="AL8" s="206" t="s">
        <v>64</v>
      </c>
      <c r="AM8" s="505"/>
      <c r="AN8" s="295" t="n">
        <v>1</v>
      </c>
      <c r="AO8" s="604"/>
      <c r="AP8" s="605" t="s">
        <v>64</v>
      </c>
      <c r="AQ8" s="548"/>
      <c r="AR8" s="295" t="n">
        <v>1</v>
      </c>
      <c r="AS8" s="87"/>
      <c r="AT8" s="441"/>
      <c r="AU8" s="443"/>
      <c r="AV8" s="441"/>
      <c r="AW8" s="443"/>
      <c r="AX8" s="444"/>
      <c r="AY8" s="206" t="s">
        <v>64</v>
      </c>
      <c r="AZ8" s="444"/>
      <c r="BA8" s="206" t="s">
        <v>64</v>
      </c>
      <c r="BB8" s="493"/>
      <c r="BC8" s="445" t="s">
        <v>498</v>
      </c>
      <c r="BE8" s="122"/>
      <c r="BF8" s="122" t="str">
        <f aca="false">IF(T8="","",T8)</f>
        <v/>
      </c>
      <c r="BG8" s="122"/>
      <c r="BH8" s="122"/>
      <c r="BI8" s="42" t="n">
        <v>0</v>
      </c>
    </row>
    <row r="9" customFormat="false" ht="11.25" hidden="true" customHeight="true" outlineLevel="0" collapsed="false">
      <c r="A9" s="417"/>
      <c r="B9" s="417"/>
      <c r="C9" s="417"/>
      <c r="D9" s="417"/>
      <c r="E9" s="418"/>
      <c r="F9" s="418"/>
      <c r="G9" s="418"/>
      <c r="H9" s="418"/>
      <c r="I9" s="434"/>
      <c r="J9" s="434"/>
      <c r="K9" s="434"/>
      <c r="L9" s="419"/>
      <c r="P9" s="125"/>
      <c r="Q9" s="125"/>
      <c r="R9" s="545"/>
      <c r="S9" s="480"/>
      <c r="T9" s="582"/>
      <c r="U9" s="424"/>
      <c r="V9" s="537"/>
      <c r="W9" s="551"/>
      <c r="X9" s="537"/>
      <c r="Y9" s="551"/>
      <c r="Z9" s="537"/>
      <c r="AA9" s="537"/>
      <c r="AB9" s="537"/>
      <c r="AC9" s="537"/>
      <c r="AD9" s="206"/>
      <c r="AE9" s="547"/>
      <c r="AF9" s="295"/>
      <c r="AG9" s="595"/>
      <c r="AH9" s="206"/>
      <c r="AI9" s="547"/>
      <c r="AJ9" s="295"/>
      <c r="AK9" s="78"/>
      <c r="AL9" s="206"/>
      <c r="AM9" s="505"/>
      <c r="AN9" s="295"/>
      <c r="AO9" s="604"/>
      <c r="AP9" s="605"/>
      <c r="AQ9" s="550"/>
      <c r="AR9" s="170"/>
      <c r="AS9" s="170" t="s">
        <v>499</v>
      </c>
      <c r="AT9" s="537"/>
      <c r="AU9" s="551"/>
      <c r="AV9" s="537"/>
      <c r="AW9" s="551"/>
      <c r="AX9" s="537"/>
      <c r="AY9" s="537"/>
      <c r="AZ9" s="537"/>
      <c r="BA9" s="537"/>
      <c r="BB9" s="549"/>
      <c r="BC9" s="445"/>
      <c r="BE9" s="122"/>
      <c r="BF9" s="122"/>
      <c r="BG9" s="122"/>
      <c r="BH9" s="122"/>
      <c r="BI9" s="42" t="n">
        <v>0</v>
      </c>
    </row>
    <row r="10" customFormat="false" ht="11.25" hidden="true" customHeight="true" outlineLevel="0" collapsed="false">
      <c r="A10" s="417"/>
      <c r="B10" s="417"/>
      <c r="C10" s="417"/>
      <c r="D10" s="417"/>
      <c r="E10" s="418"/>
      <c r="F10" s="418"/>
      <c r="G10" s="418"/>
      <c r="H10" s="418"/>
      <c r="I10" s="434"/>
      <c r="J10" s="434"/>
      <c r="K10" s="434"/>
      <c r="L10" s="419"/>
      <c r="P10" s="125"/>
      <c r="Q10" s="125"/>
      <c r="R10" s="545"/>
      <c r="S10" s="480"/>
      <c r="T10" s="582"/>
      <c r="U10" s="424"/>
      <c r="V10" s="537"/>
      <c r="W10" s="551"/>
      <c r="X10" s="537"/>
      <c r="Y10" s="551"/>
      <c r="Z10" s="537"/>
      <c r="AA10" s="537"/>
      <c r="AB10" s="537"/>
      <c r="AC10" s="537"/>
      <c r="AD10" s="206"/>
      <c r="AE10" s="547"/>
      <c r="AF10" s="295"/>
      <c r="AG10" s="595"/>
      <c r="AH10" s="206"/>
      <c r="AI10" s="547"/>
      <c r="AJ10" s="295"/>
      <c r="AK10" s="78"/>
      <c r="AL10" s="206"/>
      <c r="AM10" s="550"/>
      <c r="AN10" s="606"/>
      <c r="AO10" s="606" t="s">
        <v>519</v>
      </c>
      <c r="AP10" s="170"/>
      <c r="AQ10" s="170"/>
      <c r="AR10" s="170"/>
      <c r="AS10" s="537"/>
      <c r="AT10" s="537"/>
      <c r="AU10" s="551"/>
      <c r="AV10" s="537"/>
      <c r="AW10" s="551"/>
      <c r="AX10" s="537"/>
      <c r="AY10" s="537"/>
      <c r="AZ10" s="537"/>
      <c r="BA10" s="537"/>
      <c r="BB10" s="549"/>
      <c r="BC10" s="445"/>
      <c r="BE10" s="122"/>
      <c r="BF10" s="122"/>
      <c r="BG10" s="122"/>
      <c r="BH10" s="122"/>
      <c r="BI10" s="42" t="n">
        <v>0</v>
      </c>
    </row>
    <row r="11" customFormat="false" ht="11.25" hidden="true" customHeight="true" outlineLevel="0" collapsed="false">
      <c r="A11" s="417"/>
      <c r="B11" s="417"/>
      <c r="C11" s="417"/>
      <c r="D11" s="417"/>
      <c r="E11" s="418"/>
      <c r="F11" s="418"/>
      <c r="G11" s="418"/>
      <c r="H11" s="418"/>
      <c r="I11" s="434"/>
      <c r="J11" s="434"/>
      <c r="K11" s="434"/>
      <c r="L11" s="419"/>
      <c r="P11" s="125"/>
      <c r="Q11" s="125"/>
      <c r="R11" s="545"/>
      <c r="S11" s="480"/>
      <c r="T11" s="582"/>
      <c r="U11" s="424"/>
      <c r="V11" s="537"/>
      <c r="W11" s="551"/>
      <c r="X11" s="537"/>
      <c r="Y11" s="551"/>
      <c r="Z11" s="537"/>
      <c r="AA11" s="537"/>
      <c r="AB11" s="537"/>
      <c r="AC11" s="537"/>
      <c r="AD11" s="206"/>
      <c r="AE11" s="547"/>
      <c r="AF11" s="295"/>
      <c r="AG11" s="595"/>
      <c r="AH11" s="206"/>
      <c r="AI11" s="553"/>
      <c r="AJ11" s="165"/>
      <c r="AK11" s="382" t="s">
        <v>520</v>
      </c>
      <c r="AL11" s="537"/>
      <c r="AM11" s="537"/>
      <c r="AN11" s="537"/>
      <c r="AO11" s="537"/>
      <c r="AP11" s="537"/>
      <c r="AQ11" s="537"/>
      <c r="AR11" s="537"/>
      <c r="AS11" s="537"/>
      <c r="AT11" s="537"/>
      <c r="AU11" s="551"/>
      <c r="AV11" s="537"/>
      <c r="AW11" s="551"/>
      <c r="AX11" s="537"/>
      <c r="AY11" s="537"/>
      <c r="AZ11" s="537"/>
      <c r="BA11" s="537"/>
      <c r="BB11" s="549"/>
      <c r="BC11" s="445"/>
      <c r="BE11" s="122"/>
      <c r="BF11" s="122"/>
      <c r="BG11" s="122"/>
      <c r="BH11" s="122"/>
      <c r="BI11" s="42" t="n">
        <v>0</v>
      </c>
    </row>
    <row r="12" customFormat="false" ht="11.25" hidden="true" customHeight="true" outlineLevel="0" collapsed="false">
      <c r="A12" s="417"/>
      <c r="B12" s="417"/>
      <c r="C12" s="417"/>
      <c r="D12" s="417"/>
      <c r="E12" s="418"/>
      <c r="F12" s="418"/>
      <c r="G12" s="418"/>
      <c r="H12" s="418"/>
      <c r="I12" s="434"/>
      <c r="J12" s="434"/>
      <c r="K12" s="434"/>
      <c r="L12" s="419"/>
      <c r="P12" s="125"/>
      <c r="Q12" s="125"/>
      <c r="R12" s="545"/>
      <c r="S12" s="480"/>
      <c r="T12" s="582"/>
      <c r="U12" s="424"/>
      <c r="V12" s="537"/>
      <c r="W12" s="538" t="str">
        <f aca="false">Z8&amp;"-"&amp;AB8</f>
        <v>-</v>
      </c>
      <c r="X12" s="537"/>
      <c r="Y12" s="538" t="str">
        <f aca="false">AB8&amp;"-"&amp;AD8</f>
        <v>-да</v>
      </c>
      <c r="Z12" s="537"/>
      <c r="AA12" s="537"/>
      <c r="AB12" s="537"/>
      <c r="AC12" s="537"/>
      <c r="AD12" s="206"/>
      <c r="AE12" s="555"/>
      <c r="AF12" s="556"/>
      <c r="AG12" s="170" t="s">
        <v>502</v>
      </c>
      <c r="AH12" s="537"/>
      <c r="AI12" s="537"/>
      <c r="AJ12" s="537"/>
      <c r="AK12" s="537"/>
      <c r="AL12" s="537"/>
      <c r="AM12" s="537"/>
      <c r="AN12" s="537"/>
      <c r="AO12" s="537"/>
      <c r="AP12" s="537"/>
      <c r="AQ12" s="537"/>
      <c r="AR12" s="537"/>
      <c r="AS12" s="537"/>
      <c r="AT12" s="537"/>
      <c r="AU12" s="538" t="str">
        <f aca="false">AX8&amp;"-"&amp;AZ8</f>
        <v>-</v>
      </c>
      <c r="AV12" s="537"/>
      <c r="AW12" s="538" t="str">
        <f aca="false">AZ8&amp;"-"&amp;BB8</f>
        <v>-</v>
      </c>
      <c r="AX12" s="537"/>
      <c r="AY12" s="537"/>
      <c r="AZ12" s="537"/>
      <c r="BA12" s="537"/>
      <c r="BB12" s="554" t="str">
        <f aca="false">BE8&amp;"-"&amp;BG8</f>
        <v>-</v>
      </c>
      <c r="BC12" s="445"/>
      <c r="BE12" s="122"/>
      <c r="BF12" s="122" t="str">
        <f aca="false">IF(T12="","",T12)</f>
        <v/>
      </c>
      <c r="BG12" s="122"/>
      <c r="BH12" s="122"/>
      <c r="BI12" s="42" t="n">
        <v>0</v>
      </c>
    </row>
    <row r="13" customFormat="false" ht="11.25" hidden="true" customHeight="true" outlineLevel="0" collapsed="false">
      <c r="A13" s="417"/>
      <c r="B13" s="417"/>
      <c r="C13" s="417"/>
      <c r="D13" s="417"/>
      <c r="E13" s="418"/>
      <c r="F13" s="418"/>
      <c r="G13" s="418"/>
      <c r="H13" s="418"/>
      <c r="I13" s="434"/>
      <c r="J13" s="434"/>
      <c r="K13" s="417"/>
      <c r="L13" s="419"/>
      <c r="P13" s="125"/>
      <c r="Q13" s="125"/>
      <c r="R13" s="435"/>
      <c r="S13" s="447"/>
      <c r="T13" s="450" t="s">
        <v>465</v>
      </c>
      <c r="U13" s="196"/>
      <c r="V13" s="196"/>
      <c r="W13" s="196"/>
      <c r="X13" s="196"/>
      <c r="Y13" s="196"/>
      <c r="Z13" s="196"/>
      <c r="AA13" s="196"/>
      <c r="AB13" s="196"/>
      <c r="AC13" s="196"/>
      <c r="AD13" s="578"/>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449"/>
      <c r="BC13" s="445"/>
      <c r="BE13" s="122"/>
      <c r="BF13" s="122" t="str">
        <f aca="false">IF(T13="","",T13)</f>
        <v>Добавить строку</v>
      </c>
      <c r="BG13" s="122"/>
      <c r="BH13" s="122"/>
      <c r="BI13" s="42" t="n">
        <v>0</v>
      </c>
    </row>
    <row r="14" s="49" customFormat="true" ht="14.25" hidden="true" customHeight="true" outlineLevel="0" collapsed="false">
      <c r="A14" s="126"/>
      <c r="B14" s="126"/>
      <c r="C14" s="126"/>
      <c r="D14" s="126"/>
      <c r="E14" s="418"/>
      <c r="F14" s="418"/>
      <c r="G14" s="418"/>
      <c r="H14" s="418"/>
      <c r="I14" s="434"/>
      <c r="J14" s="126"/>
      <c r="K14" s="126"/>
      <c r="L14" s="194"/>
      <c r="M14" s="515"/>
      <c r="N14" s="515"/>
      <c r="O14" s="515"/>
      <c r="P14" s="125"/>
      <c r="Q14" s="125"/>
      <c r="R14" s="435"/>
      <c r="S14" s="511"/>
      <c r="T14" s="512"/>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4"/>
      <c r="BE14" s="122"/>
      <c r="BF14" s="122" t="str">
        <f aca="false">IF(T14="","",T14)</f>
        <v/>
      </c>
      <c r="BG14" s="122"/>
      <c r="BH14" s="122"/>
      <c r="BI14" s="49" t="n">
        <v>0</v>
      </c>
    </row>
    <row r="15" s="49" customFormat="true" ht="14.25" hidden="true" customHeight="true" outlineLevel="0" collapsed="false">
      <c r="A15" s="126"/>
      <c r="B15" s="126"/>
      <c r="C15" s="126"/>
      <c r="D15" s="126"/>
      <c r="E15" s="418"/>
      <c r="F15" s="418"/>
      <c r="G15" s="418"/>
      <c r="H15" s="418"/>
      <c r="I15" s="126"/>
      <c r="J15" s="126"/>
      <c r="K15" s="126"/>
      <c r="L15" s="194"/>
      <c r="M15" s="402"/>
      <c r="N15" s="402"/>
      <c r="P15" s="160"/>
      <c r="Q15" s="455"/>
      <c r="R15" s="557"/>
      <c r="S15" s="511"/>
      <c r="T15" s="512"/>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4"/>
      <c r="BE15" s="122"/>
      <c r="BF15" s="122" t="str">
        <f aca="false">IF(T15="","",T15)</f>
        <v/>
      </c>
      <c r="BG15" s="122"/>
      <c r="BH15" s="122"/>
      <c r="BI15" s="49" t="n">
        <v>0</v>
      </c>
    </row>
    <row r="16" s="49" customFormat="true" ht="14.25" hidden="true" customHeight="true" outlineLevel="0" collapsed="false">
      <c r="A16" s="126"/>
      <c r="B16" s="126"/>
      <c r="C16" s="126"/>
      <c r="D16" s="126"/>
      <c r="E16" s="418"/>
      <c r="F16" s="418"/>
      <c r="G16" s="418"/>
      <c r="H16" s="126"/>
      <c r="I16" s="126"/>
      <c r="J16" s="126"/>
      <c r="K16" s="126"/>
      <c r="L16" s="194"/>
      <c r="M16" s="402"/>
      <c r="N16" s="402"/>
      <c r="P16" s="160"/>
      <c r="Q16" s="455"/>
      <c r="R16" s="160"/>
      <c r="S16" s="460"/>
      <c r="T16" s="463"/>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2"/>
      <c r="AY16" s="462"/>
      <c r="AZ16" s="462"/>
      <c r="BA16" s="462"/>
      <c r="BB16" s="462"/>
      <c r="BC16" s="462"/>
      <c r="BE16" s="122"/>
      <c r="BF16" s="122" t="str">
        <f aca="false">IF(T16="","",T16)</f>
        <v/>
      </c>
      <c r="BG16" s="122"/>
      <c r="BH16" s="122"/>
      <c r="BI16" s="49" t="n">
        <v>0</v>
      </c>
    </row>
    <row r="17" s="49" customFormat="true" ht="14.25" hidden="true" customHeight="true" outlineLevel="0" collapsed="false">
      <c r="A17" s="126"/>
      <c r="B17" s="126"/>
      <c r="C17" s="126"/>
      <c r="D17" s="126"/>
      <c r="E17" s="418"/>
      <c r="F17" s="418"/>
      <c r="G17" s="126"/>
      <c r="H17" s="126"/>
      <c r="I17" s="126"/>
      <c r="J17" s="126"/>
      <c r="K17" s="126"/>
      <c r="L17" s="194"/>
      <c r="M17" s="459"/>
      <c r="N17" s="459"/>
      <c r="P17" s="160"/>
      <c r="Q17" s="455"/>
      <c r="R17" s="160"/>
      <c r="S17" s="460"/>
      <c r="T17" s="463" t="s">
        <v>412</v>
      </c>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c r="AX17" s="462"/>
      <c r="AY17" s="462"/>
      <c r="AZ17" s="462"/>
      <c r="BA17" s="462"/>
      <c r="BB17" s="462"/>
      <c r="BC17" s="462"/>
      <c r="BE17" s="122"/>
      <c r="BF17" s="122" t="str">
        <f aca="false">IF(T17="","",T17)</f>
        <v>Добавить централизованную систему для дифференциации</v>
      </c>
      <c r="BG17" s="122"/>
      <c r="BH17" s="122"/>
      <c r="BI17" s="49" t="n">
        <v>0</v>
      </c>
    </row>
    <row r="18" s="49" customFormat="true" ht="14.25" hidden="true" customHeight="true" outlineLevel="0" collapsed="false">
      <c r="A18" s="126"/>
      <c r="B18" s="126"/>
      <c r="C18" s="126"/>
      <c r="D18" s="126"/>
      <c r="E18" s="418"/>
      <c r="F18" s="126"/>
      <c r="G18" s="126"/>
      <c r="H18" s="126"/>
      <c r="I18" s="126"/>
      <c r="J18" s="126"/>
      <c r="K18" s="126"/>
      <c r="L18" s="194"/>
      <c r="M18" s="459"/>
      <c r="N18" s="459"/>
      <c r="P18" s="160"/>
      <c r="Q18" s="455"/>
      <c r="R18" s="160"/>
      <c r="S18" s="460"/>
      <c r="T18" s="463" t="s">
        <v>413</v>
      </c>
      <c r="U18" s="462"/>
      <c r="V18" s="462"/>
      <c r="W18" s="462"/>
      <c r="X18" s="462"/>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E18" s="122"/>
      <c r="BF18" s="122" t="str">
        <f aca="false">IF(T18="","",T18)</f>
        <v>Добавить территорию для дифференциации</v>
      </c>
      <c r="BG18" s="122"/>
      <c r="BH18" s="122"/>
      <c r="BI18" s="49" t="n">
        <v>0</v>
      </c>
    </row>
    <row r="19" customFormat="false" ht="14.25" hidden="true" customHeight="true" outlineLevel="0" collapsed="false">
      <c r="BI19" s="42" t="n">
        <v>0</v>
      </c>
    </row>
    <row r="20" customFormat="false" ht="14.25" hidden="true" customHeight="true" outlineLevel="0" collapsed="false">
      <c r="AD20" s="462" t="s">
        <v>19</v>
      </c>
      <c r="AE20" s="558"/>
      <c r="AF20" s="462" t="n">
        <v>1</v>
      </c>
      <c r="AG20" s="559"/>
      <c r="AH20" s="462" t="s">
        <v>19</v>
      </c>
      <c r="AI20" s="558"/>
      <c r="AJ20" s="462" t="n">
        <v>1</v>
      </c>
      <c r="AK20" s="559"/>
      <c r="AL20" s="462" t="s">
        <v>19</v>
      </c>
      <c r="AM20" s="560"/>
      <c r="AN20" s="462" t="n">
        <v>1</v>
      </c>
      <c r="AO20" s="127"/>
      <c r="AP20" s="462" t="s">
        <v>19</v>
      </c>
      <c r="AQ20" s="560"/>
      <c r="AR20" s="462" t="n">
        <v>1</v>
      </c>
      <c r="AS20" s="127"/>
      <c r="AT20" s="442"/>
      <c r="AU20" s="504"/>
      <c r="AV20" s="442"/>
      <c r="AW20" s="504"/>
      <c r="AX20" s="564"/>
      <c r="AY20" s="565" t="s">
        <v>64</v>
      </c>
      <c r="AZ20" s="564"/>
      <c r="BA20" s="565" t="s">
        <v>64</v>
      </c>
      <c r="BI20" s="42" t="n">
        <v>0</v>
      </c>
    </row>
    <row r="21" customFormat="false" ht="14.25" hidden="true" customHeight="true" outlineLevel="0" collapsed="false">
      <c r="BD21" s="124"/>
      <c r="BE21" s="124"/>
      <c r="BF21" s="124"/>
      <c r="BG21" s="124"/>
      <c r="BH21" s="124"/>
      <c r="BI21" s="42" t="n">
        <v>0</v>
      </c>
    </row>
    <row r="22" customFormat="false" ht="14.25" hidden="true" customHeight="true" outlineLevel="0" collapsed="false">
      <c r="O22" s="468" t="s">
        <v>414</v>
      </c>
      <c r="Z22" s="502"/>
      <c r="AB22" s="502"/>
      <c r="AX22" s="502"/>
      <c r="AZ22" s="502"/>
      <c r="BD22" s="124"/>
      <c r="BE22" s="124"/>
      <c r="BF22" s="124"/>
      <c r="BG22" s="124"/>
      <c r="BH22" s="124"/>
      <c r="BI22" s="42" t="n">
        <v>0</v>
      </c>
    </row>
    <row r="23" customFormat="false" ht="14.25" hidden="true" customHeight="true" outlineLevel="0" collapsed="false">
      <c r="BD23" s="124"/>
      <c r="BE23" s="124"/>
      <c r="BF23" s="124"/>
      <c r="BG23" s="124"/>
      <c r="BH23" s="124"/>
      <c r="BI23" s="42" t="n">
        <v>0</v>
      </c>
    </row>
    <row r="24" s="566" customFormat="true" ht="14.25" hidden="true" customHeight="true" outlineLevel="0" collapsed="false">
      <c r="M24" s="567"/>
      <c r="N24" s="567"/>
      <c r="O24" s="566" t="s">
        <v>415</v>
      </c>
      <c r="P24" s="567"/>
      <c r="Q24" s="568"/>
      <c r="R24" s="568"/>
      <c r="AA24" s="566" t="s">
        <v>417</v>
      </c>
      <c r="AC24" s="566" t="s">
        <v>418</v>
      </c>
      <c r="AD24" s="566" t="s">
        <v>466</v>
      </c>
      <c r="AH24" s="566" t="s">
        <v>466</v>
      </c>
      <c r="AK24" s="566" t="s">
        <v>503</v>
      </c>
      <c r="AL24" s="566" t="s">
        <v>466</v>
      </c>
      <c r="AP24" s="566" t="s">
        <v>466</v>
      </c>
      <c r="AY24" s="566" t="s">
        <v>417</v>
      </c>
      <c r="BA24" s="566" t="s">
        <v>418</v>
      </c>
      <c r="BD24" s="569"/>
      <c r="BE24" s="569"/>
      <c r="BF24" s="569"/>
      <c r="BG24" s="569"/>
      <c r="BH24" s="569"/>
      <c r="BI24" s="566" t="n">
        <v>0</v>
      </c>
    </row>
    <row r="25" customFormat="false" ht="14.25" hidden="true" customHeight="true" outlineLevel="0" collapsed="false">
      <c r="O25" s="419"/>
      <c r="BD25" s="124"/>
      <c r="BE25" s="124"/>
      <c r="BF25" s="124"/>
      <c r="BG25" s="124"/>
      <c r="BH25" s="124"/>
      <c r="BI25" s="42" t="n">
        <v>0</v>
      </c>
    </row>
    <row r="26" customFormat="false" ht="14.25" hidden="true" customHeight="true" outlineLevel="0" collapsed="false">
      <c r="O26" s="419"/>
      <c r="BD26" s="124"/>
      <c r="BE26" s="124"/>
      <c r="BF26" s="124"/>
      <c r="BG26" s="124"/>
      <c r="BH26" s="124"/>
      <c r="BI26" s="42" t="n">
        <v>0</v>
      </c>
    </row>
    <row r="27" customFormat="false" ht="14.25" hidden="false" customHeight="true" outlineLevel="0" collapsed="false">
      <c r="Q27" s="570"/>
      <c r="R27" s="470"/>
      <c r="S27" s="471"/>
      <c r="T27" s="83"/>
      <c r="U27" s="83"/>
      <c r="BI27" s="42" t="n">
        <v>14</v>
      </c>
    </row>
    <row r="28" customFormat="false" ht="14.25" hidden="false" customHeight="true" outlineLevel="0" collapsed="false">
      <c r="Q28" s="570"/>
      <c r="R28" s="470"/>
      <c r="S28" s="215" t="str">
        <f aca="false">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7"/>
      <c r="BI28" s="42" t="n">
        <v>14</v>
      </c>
    </row>
    <row r="29" customFormat="false" ht="14.25" hidden="false" customHeight="true" outlineLevel="0" collapsed="false">
      <c r="Q29" s="570"/>
      <c r="R29" s="470"/>
      <c r="S29" s="259" t="str">
        <f aca="false">IF(org=0,"Не определено",org)</f>
        <v>Филиал ПАО "ОГК-2" - Серовская ГРЭС, г. Серов</v>
      </c>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17"/>
      <c r="BI29" s="42" t="n">
        <v>14</v>
      </c>
    </row>
    <row r="30" customFormat="false" ht="14.25" hidden="true" customHeight="true" outlineLevel="0" collapsed="false">
      <c r="Q30" s="570"/>
      <c r="R30" s="470"/>
      <c r="S30" s="471"/>
      <c r="T30" s="83"/>
      <c r="U30" s="83"/>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472"/>
      <c r="AY30" s="472"/>
      <c r="AZ30" s="472"/>
      <c r="BA30" s="472"/>
      <c r="BI30" s="42" t="n">
        <v>0</v>
      </c>
    </row>
    <row r="31" s="177" customFormat="true" ht="25.5" hidden="true" customHeight="true" outlineLevel="0" collapsed="false">
      <c r="A31" s="144"/>
      <c r="B31" s="144"/>
      <c r="C31" s="144"/>
      <c r="D31" s="144"/>
      <c r="E31" s="144"/>
      <c r="F31" s="144"/>
      <c r="G31" s="144"/>
      <c r="H31" s="144"/>
      <c r="I31" s="144"/>
      <c r="J31" s="144"/>
      <c r="K31" s="144"/>
      <c r="L31" s="419"/>
      <c r="M31" s="144"/>
      <c r="N31" s="144"/>
      <c r="O31" s="144"/>
      <c r="P31" s="144"/>
      <c r="Q31" s="144"/>
      <c r="S31" s="473" t="s">
        <v>41</v>
      </c>
      <c r="T31" s="473"/>
      <c r="U31" s="474"/>
      <c r="V31" s="475" t="str">
        <f aca="false">IF(TITLE_NAME_OR_PR_CHANGE="",IF(TITLE_NAME_OR_PR="","",TITLE_NAME_OR_PR),TITLE_NAME_OR_PR_CHANGE)</f>
        <v/>
      </c>
      <c r="W31" s="475"/>
      <c r="X31" s="475"/>
      <c r="Y31" s="475"/>
      <c r="Z31" s="475"/>
      <c r="AA31" s="475"/>
      <c r="AB31" s="475"/>
      <c r="AC31" s="42"/>
      <c r="AD31" s="475" t="str">
        <f aca="false">IF(TITLE_NAME_OR_PR_CHANGE="",IF(TITLE_NAME_OR_PR="","",TITLE_NAME_OR_PR),TITLE_NAME_OR_PR_CHANGE)</f>
        <v/>
      </c>
      <c r="AE31" s="475"/>
      <c r="AF31" s="475"/>
      <c r="AG31" s="475"/>
      <c r="AH31" s="475"/>
      <c r="AI31" s="475"/>
      <c r="AJ31" s="475"/>
      <c r="AK31" s="475"/>
      <c r="AL31" s="475"/>
      <c r="AM31" s="475"/>
      <c r="AN31" s="475"/>
      <c r="AO31" s="475"/>
      <c r="AP31" s="475"/>
      <c r="AQ31" s="475"/>
      <c r="AR31" s="475"/>
      <c r="AS31" s="475"/>
      <c r="AT31" s="475"/>
      <c r="AU31" s="475"/>
      <c r="AV31" s="475"/>
      <c r="AW31" s="475"/>
      <c r="AX31" s="475"/>
      <c r="AY31" s="475"/>
      <c r="AZ31" s="475"/>
      <c r="BA31" s="42"/>
      <c r="BB31" s="42"/>
      <c r="BC31" s="476"/>
      <c r="BD31" s="122"/>
      <c r="BE31" s="122"/>
      <c r="BF31" s="122"/>
      <c r="BG31" s="122"/>
      <c r="BH31" s="122"/>
      <c r="BI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P32" s="144"/>
      <c r="Q32" s="144"/>
      <c r="S32" s="473" t="s">
        <v>420</v>
      </c>
      <c r="T32" s="473"/>
      <c r="U32" s="474"/>
      <c r="V32" s="477" t="str">
        <f aca="false">IF(TITLE_DATE_PR_CHANGE="",IF(TITLE_DATE_PR="","",TITLE_DATE_PR),TITLE_DATE_PR_CHANGE)</f>
        <v/>
      </c>
      <c r="W32" s="477"/>
      <c r="X32" s="477"/>
      <c r="Y32" s="477"/>
      <c r="Z32" s="477"/>
      <c r="AA32" s="477"/>
      <c r="AB32" s="477"/>
      <c r="AC32" s="42"/>
      <c r="AD32" s="477" t="str">
        <f aca="false">IF(TITLE_DATE_PR_CHANGE="",IF(TITLE_DATE_PR="","",TITLE_DATE_PR),TITLE_DATE_PR_CHANGE)</f>
        <v/>
      </c>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2"/>
      <c r="BB32" s="42"/>
      <c r="BC32" s="476"/>
      <c r="BD32" s="122"/>
      <c r="BE32" s="122"/>
      <c r="BF32" s="122"/>
      <c r="BG32" s="122"/>
      <c r="BH32" s="122"/>
      <c r="BI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P33" s="144"/>
      <c r="Q33" s="144"/>
      <c r="S33" s="473" t="s">
        <v>421</v>
      </c>
      <c r="T33" s="473"/>
      <c r="U33" s="474"/>
      <c r="V33" s="475" t="str">
        <f aca="false">IF(TITLE_NUMBER_PR_CHANGE="",IF(TITLE_NUMBER_PR="","",TITLE_NUMBER_PR),TITLE_NUMBER_PR_CHANGE)</f>
        <v/>
      </c>
      <c r="W33" s="475"/>
      <c r="X33" s="475"/>
      <c r="Y33" s="475"/>
      <c r="Z33" s="475"/>
      <c r="AA33" s="475"/>
      <c r="AB33" s="475"/>
      <c r="AC33" s="42"/>
      <c r="AD33" s="475" t="str">
        <f aca="false">IF(TITLE_NUMBER_PR_CHANGE="",IF(TITLE_NUMBER_PR="","",TITLE_NUMBER_PR),TITLE_NUMBER_PR_CHANGE)</f>
        <v/>
      </c>
      <c r="AE33" s="475"/>
      <c r="AF33" s="475"/>
      <c r="AG33" s="475"/>
      <c r="AH33" s="475"/>
      <c r="AI33" s="475"/>
      <c r="AJ33" s="475"/>
      <c r="AK33" s="475"/>
      <c r="AL33" s="475"/>
      <c r="AM33" s="475"/>
      <c r="AN33" s="475"/>
      <c r="AO33" s="475"/>
      <c r="AP33" s="475"/>
      <c r="AQ33" s="475"/>
      <c r="AR33" s="475"/>
      <c r="AS33" s="475"/>
      <c r="AT33" s="475"/>
      <c r="AU33" s="475"/>
      <c r="AV33" s="475"/>
      <c r="AW33" s="475"/>
      <c r="AX33" s="475"/>
      <c r="AY33" s="475"/>
      <c r="AZ33" s="475"/>
      <c r="BA33" s="42"/>
      <c r="BB33" s="42"/>
      <c r="BC33" s="476"/>
      <c r="BD33" s="122"/>
      <c r="BE33" s="122"/>
      <c r="BF33" s="122"/>
      <c r="BG33" s="122"/>
      <c r="BH33" s="122"/>
      <c r="BI33" s="177"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P34" s="144"/>
      <c r="Q34" s="144"/>
      <c r="S34" s="473" t="s">
        <v>42</v>
      </c>
      <c r="T34" s="473"/>
      <c r="U34" s="474"/>
      <c r="V34" s="475" t="str">
        <f aca="false">IF(TITLE_IST_PUB_CHANGE="",IF(TITLE_IST_PUB="","",TITLE_IST_PUB),TITLE_IST_PUB_CHANGE)</f>
        <v/>
      </c>
      <c r="W34" s="475"/>
      <c r="X34" s="475"/>
      <c r="Y34" s="475"/>
      <c r="Z34" s="475"/>
      <c r="AA34" s="475"/>
      <c r="AB34" s="475"/>
      <c r="AC34" s="42"/>
      <c r="AD34" s="475" t="str">
        <f aca="false">IF(TITLE_IST_PUB_CHANGE="",IF(TITLE_IST_PUB="","",TITLE_IST_PUB),TITLE_IST_PUB_CHANGE)</f>
        <v/>
      </c>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2"/>
      <c r="BB34" s="42"/>
      <c r="BC34" s="476"/>
      <c r="BD34" s="122"/>
      <c r="BE34" s="122"/>
      <c r="BF34" s="122"/>
      <c r="BG34" s="122"/>
      <c r="BH34" s="122"/>
      <c r="BI34" s="177" t="n">
        <v>0</v>
      </c>
    </row>
    <row r="35" customFormat="false" ht="14.25" hidden="true" customHeight="true" outlineLevel="0" collapsed="false">
      <c r="Q35" s="570"/>
      <c r="R35" s="470"/>
      <c r="S35" s="471"/>
      <c r="T35" s="83"/>
      <c r="U35" s="83"/>
      <c r="V35" s="472"/>
      <c r="W35" s="472"/>
      <c r="X35" s="472"/>
      <c r="Y35" s="472"/>
      <c r="Z35" s="472"/>
      <c r="AA35" s="472"/>
      <c r="AB35" s="472"/>
      <c r="AC35" s="472"/>
      <c r="AD35" s="472"/>
      <c r="AE35" s="472"/>
      <c r="AF35" s="472"/>
      <c r="AG35" s="472"/>
      <c r="AH35" s="472"/>
      <c r="AI35" s="472"/>
      <c r="AJ35" s="472"/>
      <c r="AK35" s="472"/>
      <c r="AL35" s="472"/>
      <c r="AM35" s="472"/>
      <c r="AN35" s="472"/>
      <c r="AO35" s="472"/>
      <c r="AP35" s="472"/>
      <c r="AQ35" s="472"/>
      <c r="AR35" s="472"/>
      <c r="AS35" s="472"/>
      <c r="AT35" s="472"/>
      <c r="AU35" s="472"/>
      <c r="AV35" s="472"/>
      <c r="AW35" s="472"/>
      <c r="AX35" s="472"/>
      <c r="AY35" s="472"/>
      <c r="AZ35" s="472"/>
      <c r="BA35" s="472"/>
      <c r="BI35" s="42" t="n">
        <v>0</v>
      </c>
    </row>
    <row r="36" s="177" customFormat="true" ht="18.75" hidden="true" customHeight="true" outlineLevel="0" collapsed="false">
      <c r="A36" s="144"/>
      <c r="B36" s="144"/>
      <c r="C36" s="144"/>
      <c r="D36" s="144"/>
      <c r="E36" s="144"/>
      <c r="F36" s="144"/>
      <c r="G36" s="144"/>
      <c r="H36" s="144"/>
      <c r="I36" s="144"/>
      <c r="J36" s="144"/>
      <c r="K36" s="144"/>
      <c r="L36" s="419"/>
      <c r="M36" s="144"/>
      <c r="N36" s="144"/>
      <c r="O36" s="144"/>
      <c r="P36" s="144"/>
      <c r="Q36" s="144"/>
      <c r="S36" s="473" t="s">
        <v>420</v>
      </c>
      <c r="T36" s="473"/>
      <c r="U36" s="474"/>
      <c r="V36" s="477" t="str">
        <f aca="false">IF(TITLE_DATE_PR_CHANGE="",IF(TITLE_DATE_PR="","",TITLE_DATE_PR),TITLE_DATE_PR_CHANGE)</f>
        <v/>
      </c>
      <c r="W36" s="477"/>
      <c r="X36" s="477"/>
      <c r="Y36" s="477"/>
      <c r="Z36" s="477"/>
      <c r="AA36" s="477"/>
      <c r="AB36" s="477"/>
      <c r="AC36" s="42"/>
      <c r="AD36" s="477" t="str">
        <f aca="false">IF(TITLE_DATE_PR_CHANGE="",IF(TITLE_DATE_PR="","",TITLE_DATE_PR),TITLE_DATE_PR_CHANGE)</f>
        <v/>
      </c>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2"/>
      <c r="BB36" s="42"/>
      <c r="BC36" s="476"/>
      <c r="BD36" s="122"/>
      <c r="BE36" s="122"/>
      <c r="BF36" s="122"/>
      <c r="BG36" s="122"/>
      <c r="BH36" s="122"/>
      <c r="BI36" s="177" t="n">
        <v>0</v>
      </c>
    </row>
    <row r="37" s="177" customFormat="true" ht="18.75" hidden="true" customHeight="true" outlineLevel="0" collapsed="false">
      <c r="A37" s="144"/>
      <c r="B37" s="144"/>
      <c r="C37" s="144"/>
      <c r="D37" s="144"/>
      <c r="E37" s="144"/>
      <c r="F37" s="144"/>
      <c r="G37" s="144"/>
      <c r="H37" s="144"/>
      <c r="I37" s="144"/>
      <c r="J37" s="144"/>
      <c r="K37" s="144"/>
      <c r="L37" s="419"/>
      <c r="M37" s="144"/>
      <c r="N37" s="144"/>
      <c r="O37" s="144"/>
      <c r="P37" s="144"/>
      <c r="Q37" s="144"/>
      <c r="S37" s="473" t="s">
        <v>421</v>
      </c>
      <c r="T37" s="473"/>
      <c r="U37" s="474"/>
      <c r="V37" s="475" t="str">
        <f aca="false">IF(TITLE_NUMBER_PR_CHANGE="",IF(TITLE_NUMBER_PR="","",TITLE_NUMBER_PR),TITLE_NUMBER_PR_CHANGE)</f>
        <v/>
      </c>
      <c r="W37" s="475"/>
      <c r="X37" s="475"/>
      <c r="Y37" s="475"/>
      <c r="Z37" s="475"/>
      <c r="AA37" s="475"/>
      <c r="AB37" s="475"/>
      <c r="AC37" s="42"/>
      <c r="AD37" s="475" t="str">
        <f aca="false">IF(TITLE_NUMBER_PR_CHANGE="",IF(TITLE_NUMBER_PR="","",TITLE_NUMBER_PR),TITLE_NUMBER_PR_CHANGE)</f>
        <v/>
      </c>
      <c r="AE37" s="475"/>
      <c r="AF37" s="475"/>
      <c r="AG37" s="475"/>
      <c r="AH37" s="475"/>
      <c r="AI37" s="475"/>
      <c r="AJ37" s="475"/>
      <c r="AK37" s="475"/>
      <c r="AL37" s="475"/>
      <c r="AM37" s="475"/>
      <c r="AN37" s="475"/>
      <c r="AO37" s="475"/>
      <c r="AP37" s="475"/>
      <c r="AQ37" s="475"/>
      <c r="AR37" s="475"/>
      <c r="AS37" s="475"/>
      <c r="AT37" s="475"/>
      <c r="AU37" s="475"/>
      <c r="AV37" s="475"/>
      <c r="AW37" s="475"/>
      <c r="AX37" s="475"/>
      <c r="AY37" s="475"/>
      <c r="AZ37" s="475"/>
      <c r="BA37" s="42"/>
      <c r="BB37" s="42"/>
      <c r="BC37" s="476"/>
      <c r="BD37" s="122"/>
      <c r="BE37" s="122"/>
      <c r="BF37" s="122"/>
      <c r="BG37" s="122"/>
      <c r="BH37" s="122"/>
      <c r="BI37" s="177" t="n">
        <v>0</v>
      </c>
    </row>
    <row r="38" s="177" customFormat="true" ht="14.35" hidden="false" customHeight="false" outlineLevel="0" collapsed="false">
      <c r="A38" s="144"/>
      <c r="B38" s="144"/>
      <c r="C38" s="144"/>
      <c r="D38" s="144"/>
      <c r="E38" s="144"/>
      <c r="F38" s="144"/>
      <c r="G38" s="144"/>
      <c r="H38" s="144"/>
      <c r="I38" s="144"/>
      <c r="J38" s="144"/>
      <c r="K38" s="144"/>
      <c r="L38" s="419"/>
      <c r="M38" s="144"/>
      <c r="N38" s="144"/>
      <c r="O38" s="144"/>
      <c r="P38" s="144"/>
      <c r="Q38" s="144"/>
      <c r="S38" s="42"/>
      <c r="T38" s="42"/>
      <c r="U38" s="132"/>
      <c r="V38" s="42"/>
      <c r="W38" s="42"/>
      <c r="X38" s="42"/>
      <c r="Y38" s="42"/>
      <c r="Z38" s="42"/>
      <c r="AA38" s="42"/>
      <c r="AB38" s="42"/>
      <c r="AC38" s="49" t="s">
        <v>424</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424</v>
      </c>
      <c r="BD38" s="122"/>
      <c r="BE38" s="122"/>
      <c r="BF38" s="122"/>
      <c r="BG38" s="122"/>
      <c r="BH38" s="122"/>
      <c r="BI38" s="177" t="n">
        <v>0</v>
      </c>
    </row>
    <row r="39" customFormat="false" ht="14.25" hidden="false" customHeight="true" outlineLevel="0" collapsed="false">
      <c r="Q39" s="570"/>
      <c r="R39" s="470"/>
      <c r="S39" s="471"/>
      <c r="T39" s="83"/>
      <c r="U39" s="478"/>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I39" s="42" t="n">
        <v>14</v>
      </c>
    </row>
    <row r="40" customFormat="false" ht="14.25" hidden="false" customHeight="true" outlineLevel="0" collapsed="false">
      <c r="Q40" s="570"/>
      <c r="R40" s="470"/>
      <c r="S40" s="138" t="s">
        <v>297</v>
      </c>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t="s">
        <v>298</v>
      </c>
      <c r="BI40" s="42" t="n">
        <v>14</v>
      </c>
    </row>
    <row r="41" customFormat="false" ht="14.25" hidden="false" customHeight="true" outlineLevel="0" collapsed="false">
      <c r="Q41" s="570"/>
      <c r="R41" s="470"/>
      <c r="S41" s="422" t="s">
        <v>86</v>
      </c>
      <c r="T41" s="395" t="s">
        <v>504</v>
      </c>
      <c r="U41" s="481"/>
      <c r="V41" s="294" t="s">
        <v>426</v>
      </c>
      <c r="W41" s="294"/>
      <c r="X41" s="294"/>
      <c r="Y41" s="294"/>
      <c r="Z41" s="294"/>
      <c r="AA41" s="294"/>
      <c r="AB41" s="294"/>
      <c r="AC41" s="395" t="s">
        <v>427</v>
      </c>
      <c r="AD41" s="294" t="s">
        <v>521</v>
      </c>
      <c r="AE41" s="294"/>
      <c r="AF41" s="294"/>
      <c r="AG41" s="294"/>
      <c r="AH41" s="294" t="s">
        <v>522</v>
      </c>
      <c r="AI41" s="294"/>
      <c r="AJ41" s="294"/>
      <c r="AK41" s="294"/>
      <c r="AL41" s="294" t="s">
        <v>523</v>
      </c>
      <c r="AM41" s="294"/>
      <c r="AN41" s="294"/>
      <c r="AO41" s="294"/>
      <c r="AP41" s="294" t="s">
        <v>508</v>
      </c>
      <c r="AQ41" s="294"/>
      <c r="AR41" s="294"/>
      <c r="AS41" s="294"/>
      <c r="AT41" s="294" t="s">
        <v>426</v>
      </c>
      <c r="AU41" s="294"/>
      <c r="AV41" s="294"/>
      <c r="AW41" s="294"/>
      <c r="AX41" s="294"/>
      <c r="AY41" s="294"/>
      <c r="AZ41" s="294"/>
      <c r="BA41" s="395" t="s">
        <v>427</v>
      </c>
      <c r="BB41" s="482" t="s">
        <v>429</v>
      </c>
      <c r="BC41" s="138"/>
      <c r="BI41" s="42" t="n">
        <v>14</v>
      </c>
    </row>
    <row r="42" customFormat="false" ht="35.25" hidden="false" customHeight="true" outlineLevel="0" collapsed="false">
      <c r="Q42" s="570"/>
      <c r="R42" s="470"/>
      <c r="S42" s="422"/>
      <c r="T42" s="395"/>
      <c r="U42" s="483"/>
      <c r="V42" s="484" t="s">
        <v>509</v>
      </c>
      <c r="W42" s="484"/>
      <c r="X42" s="484" t="s">
        <v>510</v>
      </c>
      <c r="Y42" s="484"/>
      <c r="Z42" s="138" t="s">
        <v>511</v>
      </c>
      <c r="AA42" s="138"/>
      <c r="AB42" s="138"/>
      <c r="AC42" s="395"/>
      <c r="AD42" s="294"/>
      <c r="AE42" s="294"/>
      <c r="AF42" s="294"/>
      <c r="AG42" s="294"/>
      <c r="AH42" s="294"/>
      <c r="AI42" s="294"/>
      <c r="AJ42" s="294"/>
      <c r="AK42" s="294"/>
      <c r="AL42" s="294"/>
      <c r="AM42" s="294"/>
      <c r="AN42" s="294"/>
      <c r="AO42" s="294"/>
      <c r="AP42" s="294"/>
      <c r="AQ42" s="294"/>
      <c r="AR42" s="294"/>
      <c r="AS42" s="294"/>
      <c r="AT42" s="484" t="s">
        <v>524</v>
      </c>
      <c r="AU42" s="484"/>
      <c r="AV42" s="484" t="s">
        <v>525</v>
      </c>
      <c r="AW42" s="484"/>
      <c r="AX42" s="138" t="s">
        <v>511</v>
      </c>
      <c r="AY42" s="138"/>
      <c r="AZ42" s="138"/>
      <c r="BA42" s="395"/>
      <c r="BB42" s="482"/>
      <c r="BC42" s="138"/>
      <c r="BI42" s="42" t="n">
        <v>34</v>
      </c>
    </row>
    <row r="43" customFormat="false" ht="14.25" hidden="false" customHeight="true" outlineLevel="0" collapsed="false">
      <c r="Q43" s="570"/>
      <c r="R43" s="470"/>
      <c r="S43" s="422"/>
      <c r="T43" s="395"/>
      <c r="U43" s="483"/>
      <c r="V43" s="484"/>
      <c r="W43" s="484"/>
      <c r="X43" s="484"/>
      <c r="Y43" s="484"/>
      <c r="Z43" s="138"/>
      <c r="AA43" s="138"/>
      <c r="AB43" s="138"/>
      <c r="AC43" s="395"/>
      <c r="AD43" s="294"/>
      <c r="AE43" s="294"/>
      <c r="AF43" s="294"/>
      <c r="AG43" s="294"/>
      <c r="AH43" s="294"/>
      <c r="AI43" s="294"/>
      <c r="AJ43" s="294"/>
      <c r="AK43" s="294"/>
      <c r="AL43" s="294"/>
      <c r="AM43" s="294"/>
      <c r="AN43" s="294"/>
      <c r="AO43" s="294"/>
      <c r="AP43" s="294"/>
      <c r="AQ43" s="294"/>
      <c r="AR43" s="294"/>
      <c r="AS43" s="294"/>
      <c r="AT43" s="484"/>
      <c r="AU43" s="484"/>
      <c r="AV43" s="484"/>
      <c r="AW43" s="484"/>
      <c r="AX43" s="138"/>
      <c r="AY43" s="138"/>
      <c r="AZ43" s="138"/>
      <c r="BA43" s="395"/>
      <c r="BB43" s="482"/>
      <c r="BC43" s="138"/>
      <c r="BI43" s="42" t="n">
        <v>14</v>
      </c>
    </row>
    <row r="44" customFormat="false" ht="14.25" hidden="false" customHeight="true" outlineLevel="0" collapsed="false">
      <c r="A44" s="144"/>
      <c r="B44" s="144" t="s">
        <v>134</v>
      </c>
      <c r="C44" s="144" t="s">
        <v>135</v>
      </c>
      <c r="D44" s="144" t="s">
        <v>136</v>
      </c>
      <c r="E44" s="419" t="s">
        <v>434</v>
      </c>
      <c r="F44" s="419" t="s">
        <v>435</v>
      </c>
      <c r="G44" s="419" t="s">
        <v>436</v>
      </c>
      <c r="H44" s="419" t="s">
        <v>437</v>
      </c>
      <c r="I44" s="419" t="s">
        <v>438</v>
      </c>
      <c r="J44" s="419" t="s">
        <v>439</v>
      </c>
      <c r="K44" s="419" t="s">
        <v>440</v>
      </c>
      <c r="L44" s="419" t="s">
        <v>415</v>
      </c>
      <c r="Q44" s="570"/>
      <c r="R44" s="470"/>
      <c r="S44" s="422"/>
      <c r="T44" s="395"/>
      <c r="U44" s="485"/>
      <c r="V44" s="395" t="s">
        <v>475</v>
      </c>
      <c r="W44" s="395" t="s">
        <v>476</v>
      </c>
      <c r="X44" s="395" t="s">
        <v>475</v>
      </c>
      <c r="Y44" s="395" t="s">
        <v>476</v>
      </c>
      <c r="Z44" s="220" t="s">
        <v>443</v>
      </c>
      <c r="AA44" s="220" t="s">
        <v>444</v>
      </c>
      <c r="AB44" s="220"/>
      <c r="AC44" s="395"/>
      <c r="AD44" s="294"/>
      <c r="AE44" s="294"/>
      <c r="AF44" s="294"/>
      <c r="AG44" s="294"/>
      <c r="AH44" s="294"/>
      <c r="AI44" s="294"/>
      <c r="AJ44" s="294"/>
      <c r="AK44" s="294"/>
      <c r="AL44" s="294"/>
      <c r="AM44" s="294"/>
      <c r="AN44" s="294"/>
      <c r="AO44" s="294"/>
      <c r="AP44" s="294"/>
      <c r="AQ44" s="294"/>
      <c r="AR44" s="294"/>
      <c r="AS44" s="294"/>
      <c r="AT44" s="395" t="s">
        <v>475</v>
      </c>
      <c r="AU44" s="395" t="s">
        <v>476</v>
      </c>
      <c r="AV44" s="395" t="s">
        <v>475</v>
      </c>
      <c r="AW44" s="395" t="s">
        <v>476</v>
      </c>
      <c r="AX44" s="220" t="s">
        <v>443</v>
      </c>
      <c r="AY44" s="220" t="s">
        <v>444</v>
      </c>
      <c r="AZ44" s="220"/>
      <c r="BA44" s="395"/>
      <c r="BB44" s="482"/>
      <c r="BC44" s="138"/>
      <c r="BI44" s="42" t="n">
        <v>14</v>
      </c>
    </row>
    <row r="45" s="124" customFormat="true" ht="11.25" hidden="true" customHeight="true" outlineLevel="0" collapsed="false">
      <c r="A45" s="144"/>
      <c r="B45" s="144"/>
      <c r="C45" s="144"/>
      <c r="D45" s="144"/>
      <c r="E45" s="144"/>
      <c r="F45" s="144"/>
      <c r="G45" s="144"/>
      <c r="H45" s="144"/>
      <c r="I45" s="144"/>
      <c r="J45" s="144"/>
      <c r="K45" s="144"/>
      <c r="L45" s="419"/>
      <c r="M45" s="53"/>
      <c r="N45" s="53"/>
      <c r="O45" s="53"/>
      <c r="P45" s="515"/>
      <c r="Q45" s="488"/>
      <c r="R45" s="488" t="n">
        <v>1</v>
      </c>
      <c r="S45" s="489" t="s">
        <v>107</v>
      </c>
      <c r="T45" s="490" t="s">
        <v>108</v>
      </c>
      <c r="U45" s="491" t="str">
        <f aca="true">OFFSET(U45,0,-1)</f>
        <v>2</v>
      </c>
      <c r="V45" s="492" t="n">
        <f aca="true">OFFSET(V45,0,-1)+1</f>
        <v>3</v>
      </c>
      <c r="W45" s="492" t="n">
        <f aca="true">OFFSET(W45,0,-1)+1</f>
        <v>4</v>
      </c>
      <c r="X45" s="492" t="n">
        <f aca="true">OFFSET(X45,0,-1)+1</f>
        <v>5</v>
      </c>
      <c r="Y45" s="492" t="n">
        <f aca="true">OFFSET(Y45,0,-1)+1</f>
        <v>6</v>
      </c>
      <c r="Z45" s="492" t="n">
        <f aca="true">OFFSET(Z45,0,-1)+1</f>
        <v>7</v>
      </c>
      <c r="AA45" s="492" t="n">
        <f aca="true">OFFSET(AA45,0,-1)+1</f>
        <v>8</v>
      </c>
      <c r="AB45" s="492"/>
      <c r="AC45" s="492" t="n">
        <f aca="true">OFFSET(AC45,0,-2)+1</f>
        <v>9</v>
      </c>
      <c r="AD45" s="492" t="n">
        <f aca="true">OFFSET(AD45,0,-1)+1</f>
        <v>10</v>
      </c>
      <c r="AE45" s="492"/>
      <c r="AF45" s="492"/>
      <c r="AG45" s="492"/>
      <c r="AH45" s="492"/>
      <c r="AI45" s="492"/>
      <c r="AJ45" s="492"/>
      <c r="AK45" s="492"/>
      <c r="AL45" s="492"/>
      <c r="AM45" s="492"/>
      <c r="AN45" s="492"/>
      <c r="AO45" s="492"/>
      <c r="AP45" s="492"/>
      <c r="AQ45" s="492"/>
      <c r="AR45" s="492"/>
      <c r="AS45" s="492"/>
      <c r="AT45" s="492"/>
      <c r="AU45" s="492"/>
      <c r="AV45" s="492"/>
      <c r="AW45" s="492" t="n">
        <f aca="true">OFFSET(AW45,0,-1)+1</f>
        <v>1</v>
      </c>
      <c r="AX45" s="492" t="n">
        <f aca="true">OFFSET(AX45,0,-1)+1</f>
        <v>2</v>
      </c>
      <c r="AY45" s="492" t="n">
        <f aca="true">OFFSET(AY45,0,-1)+1</f>
        <v>3</v>
      </c>
      <c r="AZ45" s="492"/>
      <c r="BA45" s="492" t="n">
        <f aca="true">OFFSET(BA45,0,-2)+1</f>
        <v>4</v>
      </c>
      <c r="BB45" s="491" t="n">
        <f aca="true">OFFSET(BB45,0,-1)</f>
        <v>4</v>
      </c>
      <c r="BC45" s="492" t="n">
        <f aca="true">OFFSET(BC45,0,-1)+1</f>
        <v>5</v>
      </c>
      <c r="BD45" s="49"/>
      <c r="BE45" s="49"/>
      <c r="BF45" s="49"/>
      <c r="BG45" s="49"/>
      <c r="BH45" s="49"/>
      <c r="BI45" s="124" t="n">
        <v>0</v>
      </c>
    </row>
    <row r="46" customFormat="false" ht="21.75" hidden="false" customHeight="true" outlineLevel="0" collapsed="false">
      <c r="A46" s="417" t="s">
        <v>273</v>
      </c>
      <c r="B46" s="417"/>
      <c r="C46" s="417"/>
      <c r="D46" s="417"/>
      <c r="E46" s="418" t="n">
        <v>1</v>
      </c>
      <c r="F46" s="417"/>
      <c r="G46" s="417"/>
      <c r="H46" s="417"/>
      <c r="I46" s="417"/>
      <c r="J46" s="417"/>
      <c r="K46" s="417"/>
      <c r="L46" s="419"/>
      <c r="M46" s="420"/>
      <c r="N46" s="420"/>
      <c r="O46" s="420"/>
      <c r="Q46" s="56"/>
      <c r="R46" s="421"/>
      <c r="S46" s="422" t="n">
        <f aca="false">INDEX(PT_DIFFERENTIATION_NUM_NTAR,MATCH(A46,PT_DIFFERENTIATION_NTAR_ID,0))</f>
        <v>0</v>
      </c>
      <c r="T46" s="423" t="s">
        <v>122</v>
      </c>
      <c r="U46" s="424"/>
      <c r="V46" s="591"/>
      <c r="W46" s="591"/>
      <c r="X46" s="591"/>
      <c r="Y46" s="591"/>
      <c r="Z46" s="591"/>
      <c r="AA46" s="591"/>
      <c r="AB46" s="591"/>
      <c r="AC46" s="591"/>
      <c r="AD46" s="426" t="str">
        <f aca="false">INDEX(PT_DIFFERENTIATION_NTAR,MATCH(A46,PT_DIFFERENTIATION_NTAR_ID,0))</f>
        <v/>
      </c>
      <c r="AE46" s="426"/>
      <c r="AF46" s="426"/>
      <c r="AG46" s="426"/>
      <c r="AH46" s="426"/>
      <c r="AI46" s="426"/>
      <c r="AJ46" s="426"/>
      <c r="AK46" s="426"/>
      <c r="AL46" s="426"/>
      <c r="AM46" s="426"/>
      <c r="AN46" s="426"/>
      <c r="AO46" s="426"/>
      <c r="AP46" s="426"/>
      <c r="AQ46" s="426"/>
      <c r="AR46" s="426"/>
      <c r="AS46" s="426"/>
      <c r="AT46" s="426"/>
      <c r="AU46" s="426"/>
      <c r="AV46" s="426"/>
      <c r="AW46" s="426"/>
      <c r="AX46" s="426"/>
      <c r="AY46" s="426"/>
      <c r="AZ46" s="426"/>
      <c r="BA46" s="426"/>
      <c r="BB46" s="426"/>
      <c r="BC46"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2"/>
      <c r="BF46" s="122" t="str">
        <f aca="false">IF(T46="","",T46)</f>
        <v>Наименование тарифа</v>
      </c>
      <c r="BG46" s="122"/>
      <c r="BH46" s="122"/>
      <c r="BI46" s="42" t="n">
        <v>21</v>
      </c>
    </row>
    <row r="47" customFormat="false" ht="21.75" hidden="false" customHeight="true" outlineLevel="0" collapsed="false">
      <c r="A47" s="417" t="s">
        <v>273</v>
      </c>
      <c r="B47" s="417" t="s">
        <v>274</v>
      </c>
      <c r="C47" s="417"/>
      <c r="D47" s="417"/>
      <c r="E47" s="418"/>
      <c r="F47" s="418" t="n">
        <v>1</v>
      </c>
      <c r="G47" s="417"/>
      <c r="H47" s="417"/>
      <c r="I47" s="417"/>
      <c r="J47" s="417"/>
      <c r="K47" s="417"/>
      <c r="L47" s="419"/>
      <c r="M47" s="420"/>
      <c r="N47" s="420"/>
      <c r="O47" s="420"/>
      <c r="P47" s="107"/>
      <c r="Q47" s="542"/>
      <c r="R47" s="429"/>
      <c r="S47" s="422" t="str">
        <f aca="false">INDEX(PT_DIFFERENTIATION_NUM_TER,MATCH(B47,PT_DIFFERENTIATION_TER_ID,0))</f>
        <v>.</v>
      </c>
      <c r="T47" s="430" t="s">
        <v>394</v>
      </c>
      <c r="U47" s="424"/>
      <c r="V47" s="591"/>
      <c r="W47" s="591"/>
      <c r="X47" s="591"/>
      <c r="Y47" s="591"/>
      <c r="Z47" s="591"/>
      <c r="AA47" s="591"/>
      <c r="AB47" s="591"/>
      <c r="AC47" s="591"/>
      <c r="AD47" s="426" t="str">
        <f aca="false">INDEX(PT_DIFFERENTIATION_TER,MATCH(B47,PT_DIFFERENTIATION_TER_ID,0))</f>
        <v/>
      </c>
      <c r="AE47" s="426"/>
      <c r="AF47" s="426"/>
      <c r="AG47" s="426"/>
      <c r="AH47" s="426"/>
      <c r="AI47" s="426"/>
      <c r="AJ47" s="426"/>
      <c r="AK47" s="426"/>
      <c r="AL47" s="426"/>
      <c r="AM47" s="426"/>
      <c r="AN47" s="426"/>
      <c r="AO47" s="426"/>
      <c r="AP47" s="426"/>
      <c r="AQ47" s="426"/>
      <c r="AR47" s="426"/>
      <c r="AS47" s="426"/>
      <c r="AT47" s="426"/>
      <c r="AU47" s="426"/>
      <c r="AV47" s="426"/>
      <c r="AW47" s="426"/>
      <c r="AX47" s="426"/>
      <c r="AY47" s="426"/>
      <c r="AZ47" s="426"/>
      <c r="BA47" s="426"/>
      <c r="BB47" s="426"/>
      <c r="BC47" s="427" t="s">
        <v>395</v>
      </c>
      <c r="BE47" s="122"/>
      <c r="BF47" s="122" t="str">
        <f aca="false">IF(T47="","",T47)</f>
        <v>Территория действия тарифа</v>
      </c>
      <c r="BG47" s="122"/>
      <c r="BH47" s="122"/>
      <c r="BI47" s="42" t="n">
        <v>21</v>
      </c>
    </row>
    <row r="48" customFormat="false" ht="35.25" hidden="false" customHeight="true" outlineLevel="0" collapsed="false">
      <c r="A48" s="417" t="s">
        <v>273</v>
      </c>
      <c r="B48" s="417" t="s">
        <v>274</v>
      </c>
      <c r="C48" s="417" t="s">
        <v>275</v>
      </c>
      <c r="D48" s="417"/>
      <c r="E48" s="418"/>
      <c r="F48" s="418"/>
      <c r="G48" s="418" t="n">
        <v>1</v>
      </c>
      <c r="H48" s="417"/>
      <c r="I48" s="417"/>
      <c r="J48" s="417"/>
      <c r="K48" s="417"/>
      <c r="L48" s="419"/>
      <c r="M48" s="420"/>
      <c r="N48" s="420"/>
      <c r="O48" s="420"/>
      <c r="P48" s="131"/>
      <c r="Q48" s="542"/>
      <c r="R48" s="429"/>
      <c r="S48" s="422" t="str">
        <f aca="false">INDEX(PT_DIFFERENTIATION_NUM_CS,MATCH(C48,PT_DIFFERENTIATION_CS_ID,0))</f>
        <v>..</v>
      </c>
      <c r="T48" s="432" t="s">
        <v>513</v>
      </c>
      <c r="U48" s="424"/>
      <c r="V48" s="591"/>
      <c r="W48" s="591"/>
      <c r="X48" s="591"/>
      <c r="Y48" s="591"/>
      <c r="Z48" s="591"/>
      <c r="AA48" s="591"/>
      <c r="AB48" s="591"/>
      <c r="AC48" s="591"/>
      <c r="AD48" s="426" t="str">
        <f aca="false">INDEX(PT_DIFFERENTIATION_CS,MATCH(C48,PT_DIFFERENTIATION_CS_ID,0))</f>
        <v/>
      </c>
      <c r="AE48" s="426"/>
      <c r="AF48" s="426"/>
      <c r="AG48" s="426"/>
      <c r="AH48" s="426"/>
      <c r="AI48" s="426"/>
      <c r="AJ48" s="426"/>
      <c r="AK48" s="426"/>
      <c r="AL48" s="426"/>
      <c r="AM48" s="426"/>
      <c r="AN48" s="426"/>
      <c r="AO48" s="426"/>
      <c r="AP48" s="426"/>
      <c r="AQ48" s="426"/>
      <c r="AR48" s="426"/>
      <c r="AS48" s="426"/>
      <c r="AT48" s="426"/>
      <c r="AU48" s="426"/>
      <c r="AV48" s="426"/>
      <c r="AW48" s="426"/>
      <c r="AX48" s="426"/>
      <c r="AY48" s="426"/>
      <c r="AZ48" s="426"/>
      <c r="BA48" s="426"/>
      <c r="BB48" s="426"/>
      <c r="BC48" s="427" t="s">
        <v>514</v>
      </c>
      <c r="BE48" s="122"/>
      <c r="BF48" s="122" t="str">
        <f aca="false">IF(T48="","",T48)</f>
        <v>Наименование централизованной системы водоотведения</v>
      </c>
      <c r="BG48" s="122"/>
      <c r="BH48" s="122"/>
      <c r="BI48" s="42" t="n">
        <v>34</v>
      </c>
    </row>
    <row r="49" s="49" customFormat="true" ht="14.35" hidden="false" customHeight="false" outlineLevel="0" collapsed="false">
      <c r="A49" s="126" t="s">
        <v>273</v>
      </c>
      <c r="B49" s="126" t="s">
        <v>274</v>
      </c>
      <c r="C49" s="126" t="s">
        <v>275</v>
      </c>
      <c r="D49" s="126" t="s">
        <v>526</v>
      </c>
      <c r="E49" s="418"/>
      <c r="F49" s="418"/>
      <c r="G49" s="418"/>
      <c r="H49" s="418" t="n">
        <v>1</v>
      </c>
      <c r="I49" s="126"/>
      <c r="J49" s="126"/>
      <c r="K49" s="126"/>
      <c r="L49" s="194"/>
      <c r="M49" s="402"/>
      <c r="N49" s="402"/>
      <c r="O49" s="402"/>
      <c r="P49" s="601"/>
      <c r="Q49" s="602"/>
      <c r="R49" s="438"/>
      <c r="S49" s="299"/>
      <c r="T49" s="603"/>
      <c r="U49" s="508"/>
      <c r="V49" s="543"/>
      <c r="W49" s="543"/>
      <c r="X49" s="543"/>
      <c r="Y49" s="543"/>
      <c r="Z49" s="543"/>
      <c r="AA49" s="543"/>
      <c r="AB49" s="543"/>
      <c r="AC49" s="543"/>
      <c r="AD49" s="509"/>
      <c r="AE49" s="509"/>
      <c r="AF49" s="509"/>
      <c r="AG49" s="509"/>
      <c r="AH49" s="509"/>
      <c r="AI49" s="509"/>
      <c r="AJ49" s="509"/>
      <c r="AK49" s="509"/>
      <c r="AL49" s="509"/>
      <c r="AM49" s="509"/>
      <c r="AN49" s="509"/>
      <c r="AO49" s="509"/>
      <c r="AP49" s="509"/>
      <c r="AQ49" s="509"/>
      <c r="AR49" s="509"/>
      <c r="AS49" s="509"/>
      <c r="AT49" s="509"/>
      <c r="AU49" s="509"/>
      <c r="AV49" s="509"/>
      <c r="AW49" s="509"/>
      <c r="AX49" s="509"/>
      <c r="AY49" s="509"/>
      <c r="AZ49" s="509"/>
      <c r="BA49" s="509"/>
      <c r="BB49" s="509"/>
      <c r="BC49" s="510" t="s">
        <v>399</v>
      </c>
      <c r="BE49" s="122"/>
      <c r="BF49" s="122" t="str">
        <f aca="false">IF(T49="","",T49)</f>
        <v/>
      </c>
      <c r="BG49" s="122"/>
      <c r="BH49" s="122"/>
      <c r="BI49" s="49" t="n">
        <v>0</v>
      </c>
    </row>
    <row r="50" s="49" customFormat="true" ht="14.35" hidden="false" customHeight="false" outlineLevel="0" collapsed="false">
      <c r="A50" s="126" t="s">
        <v>273</v>
      </c>
      <c r="B50" s="126" t="s">
        <v>274</v>
      </c>
      <c r="C50" s="126" t="s">
        <v>275</v>
      </c>
      <c r="D50" s="126" t="s">
        <v>526</v>
      </c>
      <c r="E50" s="418"/>
      <c r="F50" s="418"/>
      <c r="G50" s="418"/>
      <c r="H50" s="418"/>
      <c r="I50" s="434" t="str">
        <f aca="false">S49&amp;".1"</f>
        <v>.1</v>
      </c>
      <c r="J50" s="126"/>
      <c r="K50" s="126"/>
      <c r="L50" s="194" t="s">
        <v>400</v>
      </c>
      <c r="M50" s="515"/>
      <c r="N50" s="515"/>
      <c r="O50" s="515"/>
      <c r="P50" s="125" t="n">
        <v>1</v>
      </c>
      <c r="Q50" s="125"/>
      <c r="R50" s="435"/>
      <c r="S50" s="299"/>
      <c r="T50" s="507"/>
      <c r="U50" s="508"/>
      <c r="V50" s="543"/>
      <c r="W50" s="543"/>
      <c r="X50" s="543"/>
      <c r="Y50" s="543"/>
      <c r="Z50" s="543"/>
      <c r="AA50" s="543"/>
      <c r="AB50" s="543"/>
      <c r="AC50" s="543"/>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10"/>
      <c r="BE50" s="122"/>
      <c r="BF50" s="122" t="str">
        <f aca="false">IF(T50="","",T50)</f>
        <v/>
      </c>
      <c r="BG50" s="122"/>
      <c r="BH50" s="122"/>
      <c r="BI50" s="49" t="n">
        <v>0</v>
      </c>
    </row>
    <row r="51" s="49" customFormat="true" ht="14.35" hidden="false" customHeight="false" outlineLevel="0" collapsed="false">
      <c r="A51" s="126" t="s">
        <v>273</v>
      </c>
      <c r="B51" s="126" t="s">
        <v>274</v>
      </c>
      <c r="C51" s="126" t="s">
        <v>275</v>
      </c>
      <c r="D51" s="126" t="s">
        <v>526</v>
      </c>
      <c r="E51" s="418"/>
      <c r="F51" s="418"/>
      <c r="G51" s="418"/>
      <c r="H51" s="418"/>
      <c r="I51" s="434"/>
      <c r="J51" s="434" t="str">
        <f aca="false">S49&amp;".1"</f>
        <v>.1</v>
      </c>
      <c r="K51" s="126"/>
      <c r="L51" s="194"/>
      <c r="M51" s="515"/>
      <c r="N51" s="515"/>
      <c r="O51" s="515"/>
      <c r="P51" s="125"/>
      <c r="Q51" s="125" t="n">
        <v>1</v>
      </c>
      <c r="R51" s="438"/>
      <c r="S51" s="299"/>
      <c r="T51" s="544"/>
      <c r="U51" s="508"/>
      <c r="V51" s="543"/>
      <c r="W51" s="543"/>
      <c r="X51" s="543"/>
      <c r="Y51" s="543"/>
      <c r="Z51" s="543"/>
      <c r="AA51" s="543"/>
      <c r="AB51" s="543"/>
      <c r="AC51" s="543"/>
      <c r="AD51" s="509"/>
      <c r="AE51" s="509"/>
      <c r="AF51" s="509"/>
      <c r="AG51" s="509"/>
      <c r="AH51" s="509"/>
      <c r="AI51" s="509"/>
      <c r="AJ51" s="509"/>
      <c r="AK51" s="509"/>
      <c r="AL51" s="509"/>
      <c r="AM51" s="509"/>
      <c r="AN51" s="509"/>
      <c r="AO51" s="509"/>
      <c r="AP51" s="509"/>
      <c r="AQ51" s="509"/>
      <c r="AR51" s="509"/>
      <c r="AS51" s="509"/>
      <c r="AT51" s="509"/>
      <c r="AU51" s="509"/>
      <c r="AV51" s="509"/>
      <c r="AW51" s="509"/>
      <c r="AX51" s="509"/>
      <c r="AY51" s="509"/>
      <c r="AZ51" s="509"/>
      <c r="BA51" s="509"/>
      <c r="BB51" s="509"/>
      <c r="BC51" s="510"/>
      <c r="BE51" s="122"/>
      <c r="BF51" s="122" t="str">
        <f aca="false">IF(T51="","",T51)</f>
        <v/>
      </c>
      <c r="BG51" s="122"/>
      <c r="BH51" s="122"/>
      <c r="BI51" s="49" t="n">
        <v>0</v>
      </c>
    </row>
    <row r="52" customFormat="false" ht="11.25" hidden="false" customHeight="true" outlineLevel="0" collapsed="false">
      <c r="A52" s="417" t="s">
        <v>273</v>
      </c>
      <c r="B52" s="417" t="s">
        <v>274</v>
      </c>
      <c r="C52" s="417" t="s">
        <v>275</v>
      </c>
      <c r="D52" s="417" t="s">
        <v>526</v>
      </c>
      <c r="E52" s="418"/>
      <c r="F52" s="418"/>
      <c r="G52" s="418"/>
      <c r="H52" s="418"/>
      <c r="I52" s="434"/>
      <c r="J52" s="434"/>
      <c r="K52" s="434" t="str">
        <f aca="false">S48&amp;".1"</f>
        <v>...1</v>
      </c>
      <c r="L52" s="419"/>
      <c r="P52" s="125"/>
      <c r="Q52" s="125"/>
      <c r="R52" s="438" t="n">
        <v>1</v>
      </c>
      <c r="S52" s="480" t="str">
        <f aca="false">$K52</f>
        <v>...1</v>
      </c>
      <c r="T52" s="582"/>
      <c r="U52" s="424"/>
      <c r="V52" s="441"/>
      <c r="W52" s="443"/>
      <c r="X52" s="441"/>
      <c r="Y52" s="443"/>
      <c r="Z52" s="444"/>
      <c r="AA52" s="206" t="s">
        <v>64</v>
      </c>
      <c r="AB52" s="444"/>
      <c r="AC52" s="206" t="s">
        <v>64</v>
      </c>
      <c r="AD52" s="206" t="s">
        <v>64</v>
      </c>
      <c r="AE52" s="547"/>
      <c r="AF52" s="295" t="n">
        <v>1</v>
      </c>
      <c r="AG52" s="595"/>
      <c r="AH52" s="206" t="s">
        <v>64</v>
      </c>
      <c r="AI52" s="547"/>
      <c r="AJ52" s="295" t="n">
        <v>1</v>
      </c>
      <c r="AK52" s="78"/>
      <c r="AL52" s="206" t="s">
        <v>64</v>
      </c>
      <c r="AM52" s="505"/>
      <c r="AN52" s="295" t="n">
        <v>1</v>
      </c>
      <c r="AO52" s="604"/>
      <c r="AP52" s="605" t="s">
        <v>64</v>
      </c>
      <c r="AQ52" s="548"/>
      <c r="AR52" s="295" t="n">
        <v>1</v>
      </c>
      <c r="AS52" s="87"/>
      <c r="AT52" s="441"/>
      <c r="AU52" s="443"/>
      <c r="AV52" s="441"/>
      <c r="AW52" s="443"/>
      <c r="AX52" s="444"/>
      <c r="AY52" s="206" t="s">
        <v>64</v>
      </c>
      <c r="AZ52" s="444"/>
      <c r="BA52" s="206" t="s">
        <v>64</v>
      </c>
      <c r="BB52" s="493"/>
      <c r="BC52" s="445" t="s">
        <v>498</v>
      </c>
      <c r="BE52" s="122"/>
      <c r="BF52" s="122" t="str">
        <f aca="false">IF(T52="","",T52)</f>
        <v/>
      </c>
      <c r="BG52" s="122"/>
      <c r="BH52" s="122"/>
      <c r="BI52" s="42" t="n">
        <v>11</v>
      </c>
    </row>
    <row r="53" customFormat="false" ht="11.25" hidden="false" customHeight="true" outlineLevel="0" collapsed="false">
      <c r="A53" s="417"/>
      <c r="B53" s="417"/>
      <c r="C53" s="417"/>
      <c r="D53" s="417"/>
      <c r="E53" s="418"/>
      <c r="F53" s="418"/>
      <c r="G53" s="418"/>
      <c r="H53" s="418"/>
      <c r="I53" s="434"/>
      <c r="J53" s="434"/>
      <c r="K53" s="434"/>
      <c r="L53" s="419"/>
      <c r="P53" s="125"/>
      <c r="Q53" s="125"/>
      <c r="R53" s="438"/>
      <c r="S53" s="480"/>
      <c r="T53" s="582"/>
      <c r="U53" s="424"/>
      <c r="V53" s="537"/>
      <c r="W53" s="551"/>
      <c r="X53" s="537"/>
      <c r="Y53" s="551"/>
      <c r="Z53" s="537"/>
      <c r="AA53" s="537"/>
      <c r="AB53" s="537"/>
      <c r="AC53" s="537"/>
      <c r="AD53" s="206"/>
      <c r="AE53" s="547"/>
      <c r="AF53" s="295"/>
      <c r="AG53" s="595"/>
      <c r="AH53" s="206"/>
      <c r="AI53" s="547"/>
      <c r="AJ53" s="295"/>
      <c r="AK53" s="78"/>
      <c r="AL53" s="206"/>
      <c r="AM53" s="505"/>
      <c r="AN53" s="295"/>
      <c r="AO53" s="604"/>
      <c r="AP53" s="605"/>
      <c r="AQ53" s="550"/>
      <c r="AR53" s="170"/>
      <c r="AS53" s="170" t="s">
        <v>499</v>
      </c>
      <c r="AT53" s="537"/>
      <c r="AU53" s="551"/>
      <c r="AV53" s="537"/>
      <c r="AW53" s="551"/>
      <c r="AX53" s="537"/>
      <c r="AY53" s="537"/>
      <c r="AZ53" s="537"/>
      <c r="BA53" s="537"/>
      <c r="BB53" s="549"/>
      <c r="BC53" s="445"/>
      <c r="BE53" s="122"/>
      <c r="BF53" s="122"/>
      <c r="BG53" s="122"/>
      <c r="BH53" s="122"/>
      <c r="BI53" s="42" t="n">
        <v>11</v>
      </c>
    </row>
    <row r="54" customFormat="false" ht="11.25" hidden="false" customHeight="true" outlineLevel="0" collapsed="false">
      <c r="A54" s="417" t="s">
        <v>273</v>
      </c>
      <c r="B54" s="417"/>
      <c r="C54" s="417"/>
      <c r="D54" s="417"/>
      <c r="E54" s="418"/>
      <c r="F54" s="418"/>
      <c r="G54" s="418"/>
      <c r="H54" s="418"/>
      <c r="I54" s="434"/>
      <c r="J54" s="434"/>
      <c r="K54" s="434"/>
      <c r="L54" s="419"/>
      <c r="P54" s="125"/>
      <c r="Q54" s="125"/>
      <c r="R54" s="438"/>
      <c r="S54" s="480"/>
      <c r="T54" s="582"/>
      <c r="U54" s="424"/>
      <c r="V54" s="537"/>
      <c r="W54" s="551"/>
      <c r="X54" s="537"/>
      <c r="Y54" s="551"/>
      <c r="Z54" s="537"/>
      <c r="AA54" s="537"/>
      <c r="AB54" s="537"/>
      <c r="AC54" s="537"/>
      <c r="AD54" s="206"/>
      <c r="AE54" s="547"/>
      <c r="AF54" s="295"/>
      <c r="AG54" s="595"/>
      <c r="AH54" s="206"/>
      <c r="AI54" s="547"/>
      <c r="AJ54" s="295"/>
      <c r="AK54" s="78"/>
      <c r="AL54" s="206"/>
      <c r="AM54" s="550"/>
      <c r="AN54" s="606"/>
      <c r="AO54" s="606" t="s">
        <v>519</v>
      </c>
      <c r="AP54" s="170"/>
      <c r="AQ54" s="170"/>
      <c r="AR54" s="170"/>
      <c r="AS54" s="537"/>
      <c r="AT54" s="537"/>
      <c r="AU54" s="551"/>
      <c r="AV54" s="537"/>
      <c r="AW54" s="551"/>
      <c r="AX54" s="537"/>
      <c r="AY54" s="537"/>
      <c r="AZ54" s="537"/>
      <c r="BA54" s="537"/>
      <c r="BB54" s="549"/>
      <c r="BC54" s="445"/>
      <c r="BE54" s="122"/>
      <c r="BF54" s="122"/>
      <c r="BG54" s="122"/>
      <c r="BH54" s="122"/>
      <c r="BI54" s="42" t="n">
        <v>11</v>
      </c>
    </row>
    <row r="55" customFormat="false" ht="11.25" hidden="false" customHeight="true" outlineLevel="0" collapsed="false">
      <c r="A55" s="417" t="s">
        <v>273</v>
      </c>
      <c r="B55" s="417"/>
      <c r="C55" s="417"/>
      <c r="D55" s="417"/>
      <c r="E55" s="418"/>
      <c r="F55" s="418"/>
      <c r="G55" s="418"/>
      <c r="H55" s="418"/>
      <c r="I55" s="434"/>
      <c r="J55" s="434"/>
      <c r="K55" s="434"/>
      <c r="L55" s="419"/>
      <c r="P55" s="125"/>
      <c r="Q55" s="125"/>
      <c r="R55" s="438"/>
      <c r="S55" s="480"/>
      <c r="T55" s="582"/>
      <c r="U55" s="424"/>
      <c r="V55" s="537"/>
      <c r="W55" s="551"/>
      <c r="X55" s="537"/>
      <c r="Y55" s="551"/>
      <c r="Z55" s="537"/>
      <c r="AA55" s="537"/>
      <c r="AB55" s="537"/>
      <c r="AC55" s="537"/>
      <c r="AD55" s="206"/>
      <c r="AE55" s="547"/>
      <c r="AF55" s="295"/>
      <c r="AG55" s="595"/>
      <c r="AH55" s="206"/>
      <c r="AI55" s="553"/>
      <c r="AJ55" s="165"/>
      <c r="AK55" s="382" t="s">
        <v>520</v>
      </c>
      <c r="AL55" s="537"/>
      <c r="AM55" s="537"/>
      <c r="AN55" s="537"/>
      <c r="AO55" s="537"/>
      <c r="AP55" s="537"/>
      <c r="AQ55" s="537"/>
      <c r="AR55" s="537"/>
      <c r="AS55" s="537"/>
      <c r="AT55" s="537"/>
      <c r="AU55" s="551"/>
      <c r="AV55" s="537"/>
      <c r="AW55" s="551"/>
      <c r="AX55" s="537"/>
      <c r="AY55" s="537"/>
      <c r="AZ55" s="537"/>
      <c r="BA55" s="537"/>
      <c r="BB55" s="549"/>
      <c r="BC55" s="445"/>
      <c r="BE55" s="122"/>
      <c r="BF55" s="122"/>
      <c r="BG55" s="122"/>
      <c r="BH55" s="122"/>
      <c r="BI55" s="42" t="n">
        <v>11</v>
      </c>
    </row>
    <row r="56" customFormat="false" ht="11.25" hidden="false" customHeight="true" outlineLevel="0" collapsed="false">
      <c r="A56" s="417" t="s">
        <v>273</v>
      </c>
      <c r="B56" s="417" t="s">
        <v>274</v>
      </c>
      <c r="C56" s="417" t="s">
        <v>275</v>
      </c>
      <c r="D56" s="417" t="s">
        <v>526</v>
      </c>
      <c r="E56" s="418"/>
      <c r="F56" s="418"/>
      <c r="G56" s="418"/>
      <c r="H56" s="418"/>
      <c r="I56" s="434"/>
      <c r="J56" s="434"/>
      <c r="K56" s="434"/>
      <c r="L56" s="419"/>
      <c r="P56" s="125"/>
      <c r="Q56" s="125"/>
      <c r="R56" s="438"/>
      <c r="S56" s="480"/>
      <c r="T56" s="582"/>
      <c r="U56" s="424"/>
      <c r="V56" s="537"/>
      <c r="W56" s="538" t="str">
        <f aca="false">Z52&amp;"-"&amp;AB52</f>
        <v>-</v>
      </c>
      <c r="X56" s="537"/>
      <c r="Y56" s="538" t="str">
        <f aca="false">AB52&amp;"-"&amp;AD52</f>
        <v>-да</v>
      </c>
      <c r="Z56" s="537"/>
      <c r="AA56" s="537"/>
      <c r="AB56" s="537"/>
      <c r="AC56" s="537"/>
      <c r="AD56" s="206"/>
      <c r="AE56" s="555"/>
      <c r="AF56" s="556"/>
      <c r="AG56" s="170" t="s">
        <v>502</v>
      </c>
      <c r="AH56" s="537"/>
      <c r="AI56" s="537"/>
      <c r="AJ56" s="537"/>
      <c r="AK56" s="537"/>
      <c r="AL56" s="537"/>
      <c r="AM56" s="537"/>
      <c r="AN56" s="537"/>
      <c r="AO56" s="537"/>
      <c r="AP56" s="537"/>
      <c r="AQ56" s="537"/>
      <c r="AR56" s="537"/>
      <c r="AS56" s="537"/>
      <c r="AT56" s="537"/>
      <c r="AU56" s="538" t="str">
        <f aca="false">AX52&amp;"-"&amp;AZ52</f>
        <v>-</v>
      </c>
      <c r="AV56" s="537"/>
      <c r="AW56" s="538" t="str">
        <f aca="false">AZ52&amp;"-"&amp;BB52</f>
        <v>-</v>
      </c>
      <c r="AX56" s="537"/>
      <c r="AY56" s="537"/>
      <c r="AZ56" s="537"/>
      <c r="BA56" s="537"/>
      <c r="BB56" s="554" t="str">
        <f aca="false">BE52&amp;"-"&amp;BG52</f>
        <v>-</v>
      </c>
      <c r="BC56" s="445"/>
      <c r="BE56" s="122"/>
      <c r="BF56" s="122" t="str">
        <f aca="false">IF(T56="","",T56)</f>
        <v/>
      </c>
      <c r="BG56" s="122"/>
      <c r="BH56" s="122"/>
      <c r="BI56" s="42" t="n">
        <v>11</v>
      </c>
    </row>
    <row r="57" customFormat="false" ht="11.25" hidden="false" customHeight="true" outlineLevel="0" collapsed="false">
      <c r="A57" s="417" t="s">
        <v>273</v>
      </c>
      <c r="B57" s="417" t="s">
        <v>274</v>
      </c>
      <c r="C57" s="417" t="s">
        <v>275</v>
      </c>
      <c r="D57" s="417" t="s">
        <v>526</v>
      </c>
      <c r="E57" s="418"/>
      <c r="F57" s="418"/>
      <c r="G57" s="418"/>
      <c r="H57" s="418"/>
      <c r="I57" s="434"/>
      <c r="J57" s="434"/>
      <c r="K57" s="417"/>
      <c r="L57" s="419"/>
      <c r="P57" s="125"/>
      <c r="Q57" s="125"/>
      <c r="R57" s="435"/>
      <c r="S57" s="447"/>
      <c r="T57" s="450" t="s">
        <v>465</v>
      </c>
      <c r="U57" s="196"/>
      <c r="V57" s="196"/>
      <c r="W57" s="196"/>
      <c r="X57" s="196"/>
      <c r="Y57" s="196"/>
      <c r="Z57" s="196"/>
      <c r="AA57" s="196"/>
      <c r="AB57" s="196"/>
      <c r="AC57" s="449"/>
      <c r="AD57" s="578"/>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449"/>
      <c r="BC57" s="445"/>
      <c r="BE57" s="122"/>
      <c r="BF57" s="122" t="str">
        <f aca="false">IF(T57="","",T57)</f>
        <v>Добавить строку</v>
      </c>
      <c r="BG57" s="122"/>
      <c r="BH57" s="122"/>
      <c r="BI57" s="42" t="n">
        <v>11</v>
      </c>
    </row>
    <row r="58" s="49" customFormat="true" ht="14.35" hidden="false" customHeight="false" outlineLevel="0" collapsed="false">
      <c r="A58" s="126" t="s">
        <v>273</v>
      </c>
      <c r="B58" s="126" t="s">
        <v>274</v>
      </c>
      <c r="C58" s="126" t="s">
        <v>275</v>
      </c>
      <c r="D58" s="126" t="s">
        <v>526</v>
      </c>
      <c r="E58" s="418"/>
      <c r="F58" s="418"/>
      <c r="G58" s="418"/>
      <c r="H58" s="418"/>
      <c r="I58" s="434"/>
      <c r="J58" s="126"/>
      <c r="K58" s="126"/>
      <c r="L58" s="194"/>
      <c r="M58" s="515"/>
      <c r="N58" s="515"/>
      <c r="O58" s="515"/>
      <c r="P58" s="125"/>
      <c r="Q58" s="125"/>
      <c r="R58" s="435"/>
      <c r="S58" s="511"/>
      <c r="T58" s="512"/>
      <c r="U58" s="513"/>
      <c r="V58" s="513"/>
      <c r="W58" s="513"/>
      <c r="X58" s="513"/>
      <c r="Y58" s="513"/>
      <c r="Z58" s="513"/>
      <c r="AA58" s="513"/>
      <c r="AB58" s="513"/>
      <c r="AC58" s="513"/>
      <c r="AD58" s="513"/>
      <c r="AE58" s="513"/>
      <c r="AF58" s="513"/>
      <c r="AG58" s="513"/>
      <c r="AH58" s="513"/>
      <c r="AI58" s="513"/>
      <c r="AJ58" s="513"/>
      <c r="AK58" s="513"/>
      <c r="AL58" s="513"/>
      <c r="AM58" s="513"/>
      <c r="AN58" s="513"/>
      <c r="AO58" s="513"/>
      <c r="AP58" s="513"/>
      <c r="AQ58" s="513"/>
      <c r="AR58" s="513"/>
      <c r="AS58" s="513"/>
      <c r="AT58" s="513"/>
      <c r="AU58" s="513"/>
      <c r="AV58" s="513"/>
      <c r="AW58" s="513"/>
      <c r="AX58" s="513"/>
      <c r="AY58" s="513"/>
      <c r="AZ58" s="513"/>
      <c r="BA58" s="513"/>
      <c r="BB58" s="513"/>
      <c r="BC58" s="514"/>
      <c r="BE58" s="122"/>
      <c r="BF58" s="122" t="str">
        <f aca="false">IF(T58="","",T58)</f>
        <v/>
      </c>
      <c r="BG58" s="122"/>
      <c r="BH58" s="122"/>
      <c r="BI58" s="49" t="n">
        <v>0</v>
      </c>
    </row>
    <row r="59" s="49" customFormat="true" ht="14.35" hidden="false" customHeight="false" outlineLevel="0" collapsed="false">
      <c r="A59" s="126" t="s">
        <v>273</v>
      </c>
      <c r="B59" s="126" t="s">
        <v>274</v>
      </c>
      <c r="C59" s="126" t="s">
        <v>275</v>
      </c>
      <c r="D59" s="126" t="s">
        <v>526</v>
      </c>
      <c r="E59" s="418"/>
      <c r="F59" s="418"/>
      <c r="G59" s="418"/>
      <c r="H59" s="418"/>
      <c r="I59" s="126"/>
      <c r="J59" s="126"/>
      <c r="K59" s="126"/>
      <c r="L59" s="194"/>
      <c r="M59" s="402"/>
      <c r="N59" s="402"/>
      <c r="P59" s="160"/>
      <c r="Q59" s="455"/>
      <c r="R59" s="557"/>
      <c r="S59" s="511"/>
      <c r="T59" s="512"/>
      <c r="U59" s="513"/>
      <c r="V59" s="513"/>
      <c r="W59" s="513"/>
      <c r="X59" s="513"/>
      <c r="Y59" s="513"/>
      <c r="Z59" s="513"/>
      <c r="AA59" s="513"/>
      <c r="AB59" s="513"/>
      <c r="AC59" s="513"/>
      <c r="AD59" s="513"/>
      <c r="AE59" s="513"/>
      <c r="AF59" s="513"/>
      <c r="AG59" s="513"/>
      <c r="AH59" s="513"/>
      <c r="AI59" s="513"/>
      <c r="AJ59" s="513"/>
      <c r="AK59" s="513"/>
      <c r="AL59" s="513"/>
      <c r="AM59" s="513"/>
      <c r="AN59" s="513"/>
      <c r="AO59" s="513"/>
      <c r="AP59" s="513"/>
      <c r="AQ59" s="513"/>
      <c r="AR59" s="513"/>
      <c r="AS59" s="513"/>
      <c r="AT59" s="513"/>
      <c r="AU59" s="513"/>
      <c r="AV59" s="513"/>
      <c r="AW59" s="513"/>
      <c r="AX59" s="513"/>
      <c r="AY59" s="513"/>
      <c r="AZ59" s="513"/>
      <c r="BA59" s="513"/>
      <c r="BB59" s="513"/>
      <c r="BC59" s="514"/>
      <c r="BE59" s="122"/>
      <c r="BF59" s="122" t="str">
        <f aca="false">IF(T59="","",T59)</f>
        <v/>
      </c>
      <c r="BG59" s="122"/>
      <c r="BH59" s="122"/>
      <c r="BI59" s="49" t="n">
        <v>0</v>
      </c>
    </row>
    <row r="60" s="49" customFormat="true" ht="14.35" hidden="false" customHeight="false" outlineLevel="0" collapsed="false">
      <c r="A60" s="126" t="s">
        <v>273</v>
      </c>
      <c r="B60" s="126" t="s">
        <v>274</v>
      </c>
      <c r="C60" s="126" t="s">
        <v>275</v>
      </c>
      <c r="D60" s="126"/>
      <c r="E60" s="418"/>
      <c r="F60" s="418"/>
      <c r="G60" s="418"/>
      <c r="H60" s="126"/>
      <c r="I60" s="126"/>
      <c r="J60" s="126"/>
      <c r="K60" s="126"/>
      <c r="L60" s="194"/>
      <c r="M60" s="402"/>
      <c r="N60" s="402"/>
      <c r="P60" s="160"/>
      <c r="Q60" s="455"/>
      <c r="R60" s="160"/>
      <c r="S60" s="460"/>
      <c r="T60" s="463"/>
      <c r="U60" s="462"/>
      <c r="V60" s="462"/>
      <c r="W60" s="462"/>
      <c r="X60" s="462"/>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V60" s="462"/>
      <c r="AW60" s="462"/>
      <c r="AX60" s="462"/>
      <c r="AY60" s="462"/>
      <c r="AZ60" s="462"/>
      <c r="BA60" s="462"/>
      <c r="BB60" s="462"/>
      <c r="BC60" s="462"/>
      <c r="BE60" s="122"/>
      <c r="BF60" s="122" t="str">
        <f aca="false">IF(T60="","",T60)</f>
        <v/>
      </c>
      <c r="BG60" s="122"/>
      <c r="BH60" s="122"/>
      <c r="BI60" s="49" t="n">
        <v>0</v>
      </c>
    </row>
    <row r="61" s="49" customFormat="true" ht="14.35" hidden="false" customHeight="false" outlineLevel="0" collapsed="false">
      <c r="A61" s="126" t="s">
        <v>273</v>
      </c>
      <c r="B61" s="126" t="s">
        <v>274</v>
      </c>
      <c r="C61" s="126"/>
      <c r="D61" s="126"/>
      <c r="E61" s="418"/>
      <c r="F61" s="418"/>
      <c r="G61" s="126"/>
      <c r="H61" s="126"/>
      <c r="I61" s="126"/>
      <c r="J61" s="126"/>
      <c r="K61" s="126"/>
      <c r="L61" s="194"/>
      <c r="M61" s="459"/>
      <c r="N61" s="459"/>
      <c r="P61" s="160"/>
      <c r="Q61" s="455"/>
      <c r="R61" s="160"/>
      <c r="S61" s="460"/>
      <c r="T61" s="463" t="s">
        <v>412</v>
      </c>
      <c r="U61" s="462"/>
      <c r="V61" s="462"/>
      <c r="W61" s="462"/>
      <c r="X61" s="462"/>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V61" s="462"/>
      <c r="AW61" s="462"/>
      <c r="AX61" s="462"/>
      <c r="AY61" s="462"/>
      <c r="AZ61" s="462"/>
      <c r="BA61" s="462"/>
      <c r="BB61" s="462"/>
      <c r="BC61" s="462"/>
      <c r="BE61" s="122"/>
      <c r="BF61" s="122" t="str">
        <f aca="false">IF(T61="","",T61)</f>
        <v>Добавить централизованную систему для дифференциации</v>
      </c>
      <c r="BG61" s="122"/>
      <c r="BH61" s="122"/>
      <c r="BI61" s="49" t="n">
        <v>0</v>
      </c>
    </row>
    <row r="62" s="49" customFormat="true" ht="14.35" hidden="false" customHeight="false" outlineLevel="0" collapsed="false">
      <c r="A62" s="126" t="s">
        <v>273</v>
      </c>
      <c r="B62" s="126"/>
      <c r="C62" s="126"/>
      <c r="D62" s="126"/>
      <c r="E62" s="418"/>
      <c r="F62" s="126"/>
      <c r="G62" s="126"/>
      <c r="H62" s="126"/>
      <c r="I62" s="126"/>
      <c r="J62" s="126"/>
      <c r="K62" s="126"/>
      <c r="L62" s="194"/>
      <c r="M62" s="459"/>
      <c r="N62" s="459"/>
      <c r="P62" s="160"/>
      <c r="Q62" s="455"/>
      <c r="R62" s="160"/>
      <c r="S62" s="460"/>
      <c r="T62" s="463" t="s">
        <v>413</v>
      </c>
      <c r="U62" s="462"/>
      <c r="V62" s="462"/>
      <c r="W62" s="462"/>
      <c r="X62" s="462"/>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V62" s="462"/>
      <c r="AW62" s="462"/>
      <c r="AX62" s="462"/>
      <c r="AY62" s="462"/>
      <c r="AZ62" s="462"/>
      <c r="BA62" s="462"/>
      <c r="BB62" s="462"/>
      <c r="BC62" s="462"/>
      <c r="BE62" s="122"/>
      <c r="BF62" s="122" t="str">
        <f aca="false">IF(T62="","",T62)</f>
        <v>Добавить территорию для дифференциации</v>
      </c>
      <c r="BG62" s="122"/>
      <c r="BH62" s="122"/>
      <c r="BI62" s="49" t="n">
        <v>0</v>
      </c>
    </row>
    <row r="63" s="49" customFormat="true" ht="14.35" hidden="false" customHeight="false" outlineLevel="0" collapsed="false">
      <c r="A63" s="126"/>
      <c r="B63" s="126"/>
      <c r="C63" s="126"/>
      <c r="D63" s="126"/>
      <c r="E63" s="126"/>
      <c r="F63" s="126"/>
      <c r="G63" s="126"/>
      <c r="H63" s="126"/>
      <c r="I63" s="126"/>
      <c r="J63" s="126"/>
      <c r="K63" s="126"/>
      <c r="L63" s="194"/>
      <c r="M63" s="459"/>
      <c r="N63" s="459"/>
      <c r="P63" s="160"/>
      <c r="Q63" s="455"/>
      <c r="R63" s="160"/>
      <c r="S63" s="460"/>
      <c r="T63" s="463" t="s">
        <v>445</v>
      </c>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c r="BE63" s="122"/>
      <c r="BF63" s="122" t="str">
        <f aca="false">IF(T63="","",T63)</f>
        <v>Добавить наименование тарифа</v>
      </c>
      <c r="BG63" s="122"/>
      <c r="BH63" s="122"/>
      <c r="BI63" s="49"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4.25" hidden="false" customHeight="true" outlineLevel="0" collapsed="false">
      <c r="O65" s="45"/>
      <c r="S65" s="414"/>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5"/>
      <c r="AZ65" s="495"/>
      <c r="BA65" s="495"/>
      <c r="BB65" s="495"/>
      <c r="BC65" s="495"/>
      <c r="BI65" s="42" t="n">
        <v>14</v>
      </c>
    </row>
    <row r="66" customFormat="false" ht="14.25" hidden="false" customHeight="true" outlineLevel="0" collapsed="false">
      <c r="O66" s="4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5"/>
      <c r="BC66" s="495"/>
      <c r="BI66" s="42" t="n">
        <v>14</v>
      </c>
    </row>
    <row r="67" customFormat="false" ht="14.25" hidden="false" customHeight="true" outlineLevel="0" collapsed="false">
      <c r="O67" s="45"/>
      <c r="S67" s="414"/>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AV67" s="495"/>
      <c r="AW67" s="495"/>
      <c r="AX67" s="495"/>
      <c r="AY67" s="495"/>
      <c r="AZ67" s="495"/>
      <c r="BA67" s="495"/>
      <c r="BB67" s="495"/>
      <c r="BC67" s="495"/>
      <c r="BI67" s="42" t="n">
        <v>14</v>
      </c>
    </row>
    <row r="68" customFormat="false" ht="14.25" hidden="false" customHeight="true" outlineLevel="0" collapsed="false">
      <c r="O68" s="45"/>
      <c r="BI68" s="42" t="n">
        <v>14</v>
      </c>
    </row>
    <row r="69" customFormat="false" ht="14.25" hidden="true" customHeight="true" outlineLevel="0" collapsed="false">
      <c r="A69" s="45" t="s">
        <v>80</v>
      </c>
      <c r="B69" s="45" t="n">
        <v>0</v>
      </c>
      <c r="C69" s="45" t="n">
        <v>0</v>
      </c>
      <c r="D69" s="45" t="n">
        <v>0</v>
      </c>
      <c r="E69" s="45" t="n">
        <v>0</v>
      </c>
      <c r="F69" s="45" t="n">
        <v>0</v>
      </c>
      <c r="G69" s="45" t="n">
        <v>0</v>
      </c>
      <c r="H69" s="45" t="n">
        <v>0</v>
      </c>
      <c r="I69" s="45" t="n">
        <v>0</v>
      </c>
      <c r="J69" s="45" t="n">
        <v>0</v>
      </c>
      <c r="K69" s="45" t="n">
        <v>0</v>
      </c>
      <c r="L69" s="107" t="n">
        <v>0</v>
      </c>
      <c r="M69" s="53" t="n">
        <v>0</v>
      </c>
      <c r="N69" s="53" t="n">
        <v>0</v>
      </c>
      <c r="O69" s="53" t="n">
        <v>0</v>
      </c>
      <c r="P69" s="53" t="n">
        <v>0</v>
      </c>
      <c r="Q69" s="469" t="n">
        <v>0</v>
      </c>
      <c r="R69" s="416" t="n">
        <v>3</v>
      </c>
      <c r="S69" s="77"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9" t="n">
        <v>10</v>
      </c>
      <c r="BE69" s="49" t="n">
        <v>10</v>
      </c>
      <c r="BF69" s="49" t="n">
        <v>10</v>
      </c>
      <c r="BG69" s="49" t="n">
        <v>10</v>
      </c>
      <c r="BH69" s="49"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AC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3" activeCellId="0" sqref="G13"/>
    </sheetView>
  </sheetViews>
  <sheetFormatPr defaultColWidth="9.15234375" defaultRowHeight="14.25" zeroHeight="false" outlineLevelRow="0" outlineLevelCol="0"/>
  <cols>
    <col collapsed="false" customWidth="true" hidden="true" outlineLevel="0" max="1" min="1" style="42" width="8"/>
    <col collapsed="false" customWidth="true" hidden="true" outlineLevel="0" max="2" min="2" style="45" width="6"/>
    <col collapsed="false" customWidth="true" hidden="false" outlineLevel="0" max="3" min="3" style="42" width="3"/>
    <col collapsed="false" customWidth="true" hidden="false" outlineLevel="0" max="4" min="4" style="121" width="3"/>
    <col collapsed="false" customWidth="true" hidden="false" outlineLevel="0" max="5" min="5" style="42" width="6"/>
    <col collapsed="false" customWidth="true" hidden="true" outlineLevel="0" max="6" min="6" style="42" width="2.71"/>
    <col collapsed="false" customWidth="true" hidden="false" outlineLevel="0" max="7" min="7" style="42" width="46.71"/>
    <col collapsed="false" customWidth="true" hidden="false" outlineLevel="0" max="8" min="8" style="42" width="42"/>
    <col collapsed="false" customWidth="true" hidden="false" outlineLevel="0" max="9" min="9" style="42" width="14"/>
    <col collapsed="false" customWidth="true" hidden="false" outlineLevel="0" max="10" min="10" style="122" width="3"/>
    <col collapsed="false" customWidth="false" hidden="true" outlineLevel="0" max="13" min="11" style="122" width="9.15"/>
    <col collapsed="false" customWidth="true" hidden="true" outlineLevel="0" max="14" min="14" style="122" width="25.71"/>
    <col collapsed="false" customWidth="true" hidden="true" outlineLevel="0" max="15" min="15" style="122" width="14.43"/>
    <col collapsed="false" customWidth="false" hidden="true" outlineLevel="0" max="19" min="16" style="123" width="9.15"/>
    <col collapsed="false" customWidth="false" hidden="true" outlineLevel="0" max="27" min="20" style="42" width="9.15"/>
    <col collapsed="false" customWidth="true" hidden="false" outlineLevel="0" max="28" min="28" style="42" width="8"/>
    <col collapsed="false" customWidth="false" hidden="true" outlineLevel="0" max="29" min="29" style="42" width="9.15"/>
  </cols>
  <sheetData>
    <row r="1" s="49" customFormat="true" ht="5.25" hidden="true" customHeight="true" outlineLevel="0" collapsed="false">
      <c r="A1" s="124"/>
      <c r="D1" s="125"/>
      <c r="G1" s="126" t="s">
        <v>81</v>
      </c>
      <c r="H1" s="125" t="s">
        <v>82</v>
      </c>
      <c r="I1" s="127" t="s">
        <v>83</v>
      </c>
      <c r="J1" s="126" t="s">
        <v>81</v>
      </c>
      <c r="K1" s="126"/>
      <c r="L1" s="126"/>
      <c r="M1" s="126"/>
      <c r="N1" s="126"/>
      <c r="O1" s="126"/>
      <c r="P1" s="126"/>
      <c r="Q1" s="126"/>
      <c r="R1" s="126"/>
      <c r="S1" s="126"/>
      <c r="T1" s="127"/>
      <c r="U1" s="127"/>
      <c r="V1" s="127"/>
      <c r="W1" s="127"/>
      <c r="X1" s="127"/>
      <c r="Y1" s="127"/>
      <c r="Z1" s="127"/>
      <c r="AA1" s="127"/>
      <c r="AB1" s="127"/>
      <c r="AC1" s="49" t="s">
        <v>14</v>
      </c>
    </row>
    <row r="2" s="131" customFormat="true" ht="11.25" hidden="false" customHeight="true" outlineLevel="0" collapsed="false">
      <c r="A2" s="114"/>
      <c r="B2" s="128"/>
      <c r="C2" s="128"/>
      <c r="D2" s="129"/>
      <c r="E2" s="128"/>
      <c r="F2" s="128"/>
      <c r="G2" s="128"/>
      <c r="H2" s="128"/>
      <c r="I2" s="128"/>
      <c r="J2" s="126"/>
      <c r="K2" s="126"/>
      <c r="L2" s="126"/>
      <c r="M2" s="126"/>
      <c r="N2" s="126"/>
      <c r="O2" s="126"/>
      <c r="P2" s="130"/>
      <c r="Q2" s="130"/>
      <c r="R2" s="130"/>
      <c r="S2" s="130"/>
      <c r="T2" s="129"/>
      <c r="U2" s="129"/>
      <c r="V2" s="129"/>
      <c r="W2" s="129"/>
      <c r="X2" s="129"/>
      <c r="Y2" s="129"/>
      <c r="Z2" s="129"/>
      <c r="AA2" s="129"/>
      <c r="AB2" s="129"/>
      <c r="AC2" s="131" t="n">
        <v>11</v>
      </c>
    </row>
    <row r="3" s="133" customFormat="true" ht="3" hidden="false" customHeight="true" outlineLevel="0" collapsed="false">
      <c r="A3" s="42"/>
      <c r="B3" s="45"/>
      <c r="C3" s="42"/>
      <c r="D3" s="121"/>
      <c r="E3" s="42"/>
      <c r="F3" s="42"/>
      <c r="G3" s="42"/>
      <c r="H3" s="42"/>
      <c r="I3" s="132"/>
      <c r="J3" s="126"/>
      <c r="K3" s="122"/>
      <c r="L3" s="122"/>
      <c r="M3" s="122"/>
      <c r="N3" s="122"/>
      <c r="O3" s="122"/>
      <c r="P3" s="123"/>
      <c r="Q3" s="123"/>
      <c r="R3" s="123"/>
      <c r="S3" s="123"/>
      <c r="AC3" s="133" t="n">
        <v>3</v>
      </c>
    </row>
    <row r="4" s="133" customFormat="true" ht="27" hidden="false" customHeight="true" outlineLevel="0" collapsed="false">
      <c r="A4" s="42"/>
      <c r="B4" s="45"/>
      <c r="C4" s="42"/>
      <c r="D4" s="121"/>
      <c r="E4" s="134" t="str">
        <f aca="false">NameTemplatesInListMO</f>
        <v>Перечень муниципальных районов и муниципальных образований (территорий действия тарифа)</v>
      </c>
      <c r="F4" s="134"/>
      <c r="G4" s="134"/>
      <c r="H4" s="134"/>
      <c r="I4" s="134"/>
      <c r="J4" s="126"/>
      <c r="K4" s="122"/>
      <c r="L4" s="122"/>
      <c r="M4" s="122"/>
      <c r="N4" s="122"/>
      <c r="O4" s="122"/>
      <c r="P4" s="123"/>
      <c r="Q4" s="123"/>
      <c r="R4" s="123"/>
      <c r="S4" s="123"/>
      <c r="AC4" s="133" t="n">
        <v>26</v>
      </c>
    </row>
    <row r="5" s="133" customFormat="true" ht="3" hidden="false" customHeight="true" outlineLevel="0" collapsed="false">
      <c r="A5" s="42"/>
      <c r="B5" s="45"/>
      <c r="C5" s="42"/>
      <c r="D5" s="121"/>
      <c r="E5" s="42"/>
      <c r="F5" s="42"/>
      <c r="G5" s="135"/>
      <c r="H5" s="135"/>
      <c r="I5" s="114"/>
      <c r="J5" s="122"/>
      <c r="K5" s="122"/>
      <c r="L5" s="122"/>
      <c r="M5" s="122"/>
      <c r="N5" s="122"/>
      <c r="O5" s="122"/>
      <c r="P5" s="123"/>
      <c r="Q5" s="123"/>
      <c r="R5" s="123"/>
      <c r="S5" s="123"/>
      <c r="AC5" s="133" t="n">
        <v>3</v>
      </c>
    </row>
    <row r="6" s="133" customFormat="true" ht="20.25" hidden="true" customHeight="true" outlineLevel="0" collapsed="false">
      <c r="A6" s="136"/>
      <c r="B6" s="56"/>
      <c r="C6" s="136"/>
      <c r="D6" s="121"/>
      <c r="E6" s="118"/>
      <c r="F6" s="118"/>
      <c r="G6" s="135"/>
      <c r="H6" s="137"/>
      <c r="I6" s="137"/>
      <c r="J6" s="122"/>
      <c r="K6" s="122"/>
      <c r="L6" s="122"/>
      <c r="M6" s="122"/>
      <c r="N6" s="122"/>
      <c r="O6" s="122"/>
      <c r="P6" s="123"/>
      <c r="Q6" s="123"/>
      <c r="R6" s="123"/>
      <c r="S6" s="123"/>
      <c r="AC6" s="133" t="n">
        <v>0</v>
      </c>
    </row>
    <row r="7" customFormat="false" ht="25.5" hidden="true" customHeight="true" outlineLevel="0" collapsed="false">
      <c r="AC7" s="42" t="n">
        <v>0</v>
      </c>
    </row>
    <row r="8" s="133" customFormat="true" ht="14.25" hidden="false" customHeight="true" outlineLevel="0" collapsed="false">
      <c r="A8" s="42"/>
      <c r="B8" s="45"/>
      <c r="C8" s="42"/>
      <c r="D8" s="121"/>
      <c r="E8" s="138" t="s">
        <v>84</v>
      </c>
      <c r="F8" s="138"/>
      <c r="G8" s="138"/>
      <c r="H8" s="139" t="s">
        <v>85</v>
      </c>
      <c r="I8" s="139"/>
      <c r="J8" s="122"/>
      <c r="K8" s="122"/>
      <c r="L8" s="122"/>
      <c r="M8" s="122"/>
      <c r="N8" s="122"/>
      <c r="O8" s="122"/>
      <c r="P8" s="123"/>
      <c r="Q8" s="123"/>
      <c r="R8" s="123"/>
      <c r="S8" s="123"/>
      <c r="AC8" s="133" t="n">
        <v>14</v>
      </c>
    </row>
    <row r="9" s="133" customFormat="true" ht="21" hidden="false" customHeight="true" outlineLevel="0" collapsed="false">
      <c r="A9" s="42"/>
      <c r="B9" s="45"/>
      <c r="C9" s="42"/>
      <c r="D9" s="121"/>
      <c r="E9" s="140" t="s">
        <v>86</v>
      </c>
      <c r="F9" s="140"/>
      <c r="G9" s="141" t="s">
        <v>87</v>
      </c>
      <c r="H9" s="141" t="s">
        <v>87</v>
      </c>
      <c r="I9" s="141" t="s">
        <v>83</v>
      </c>
      <c r="J9" s="122"/>
      <c r="K9" s="122"/>
      <c r="L9" s="122"/>
      <c r="M9" s="122"/>
      <c r="N9" s="122"/>
      <c r="O9" s="122"/>
      <c r="P9" s="123"/>
      <c r="Q9" s="123"/>
      <c r="R9" s="123"/>
      <c r="S9" s="123"/>
      <c r="AC9" s="133" t="n">
        <v>20</v>
      </c>
    </row>
    <row r="10" customFormat="false" ht="11.25" hidden="false" customHeight="true" outlineLevel="0" collapsed="false">
      <c r="D10" s="142"/>
      <c r="E10" s="143" t="s">
        <v>88</v>
      </c>
      <c r="F10" s="143"/>
      <c r="G10" s="143" t="s">
        <v>89</v>
      </c>
      <c r="H10" s="143" t="s">
        <v>90</v>
      </c>
      <c r="I10" s="143" t="s">
        <v>91</v>
      </c>
      <c r="J10" s="144"/>
      <c r="K10" s="144"/>
      <c r="L10" s="144"/>
      <c r="M10" s="144"/>
      <c r="N10" s="144"/>
      <c r="O10" s="144"/>
      <c r="P10" s="145"/>
      <c r="Q10" s="145"/>
      <c r="R10" s="145"/>
      <c r="S10" s="145"/>
      <c r="AC10" s="42" t="n">
        <v>11</v>
      </c>
    </row>
    <row r="11" s="133" customFormat="true" ht="0.75" hidden="false" customHeight="true" outlineLevel="0" collapsed="false">
      <c r="A11" s="42"/>
      <c r="B11" s="45"/>
      <c r="C11" s="42"/>
      <c r="D11" s="121"/>
      <c r="E11" s="146"/>
      <c r="F11" s="146"/>
      <c r="G11" s="147"/>
      <c r="H11" s="147"/>
      <c r="I11" s="148"/>
      <c r="J11" s="149" t="s">
        <v>92</v>
      </c>
      <c r="K11" s="122"/>
      <c r="L11" s="122"/>
      <c r="M11" s="122" t="s">
        <v>93</v>
      </c>
      <c r="N11" s="122" t="s">
        <v>94</v>
      </c>
      <c r="O11" s="122" t="s">
        <v>95</v>
      </c>
      <c r="P11" s="123"/>
      <c r="Q11" s="123"/>
      <c r="R11" s="123"/>
      <c r="S11" s="123"/>
      <c r="AC11" s="133" t="n">
        <v>1</v>
      </c>
    </row>
    <row r="12" s="133" customFormat="true" ht="15" hidden="false" customHeight="true" outlineLevel="0" collapsed="false">
      <c r="A12" s="43" t="n">
        <v>1</v>
      </c>
      <c r="B12" s="45"/>
      <c r="C12" s="42"/>
      <c r="D12" s="121"/>
      <c r="E12" s="150" t="n">
        <f aca="false">A12</f>
        <v>1</v>
      </c>
      <c r="F12" s="151" t="s">
        <v>96</v>
      </c>
      <c r="G12" s="152" t="str">
        <f aca="false">"Территория "&amp;E12</f>
        <v>Территория 1</v>
      </c>
      <c r="H12" s="153"/>
      <c r="I12" s="153"/>
      <c r="J12" s="122"/>
      <c r="K12" s="122"/>
      <c r="L12" s="122"/>
      <c r="M12" s="122"/>
      <c r="N12" s="122"/>
      <c r="O12" s="122"/>
      <c r="P12" s="123"/>
      <c r="Q12" s="123"/>
      <c r="R12" s="123"/>
      <c r="S12" s="123"/>
      <c r="AC12" s="133" t="n">
        <v>14</v>
      </c>
    </row>
    <row r="13" s="55" customFormat="true" ht="15.75" hidden="false" customHeight="true" outlineLevel="0" collapsed="false">
      <c r="A13" s="43"/>
      <c r="B13" s="45" t="n">
        <v>1</v>
      </c>
      <c r="C13" s="45"/>
      <c r="D13" s="154"/>
      <c r="E13" s="155" t="str">
        <f aca="false">A12&amp;"."&amp;B13</f>
        <v>1.1</v>
      </c>
      <c r="F13" s="156" t="s">
        <v>97</v>
      </c>
      <c r="G13" s="157" t="s">
        <v>98</v>
      </c>
      <c r="H13" s="157" t="s">
        <v>98</v>
      </c>
      <c r="I13" s="158" t="s">
        <v>99</v>
      </c>
      <c r="J13" s="122" t="e">
        <f aca="false">mergevalue(G13)</f>
        <v>#NAME?</v>
      </c>
      <c r="K13" s="49"/>
      <c r="L13" s="49"/>
      <c r="M13" s="122" t="str">
        <f aca="false" t="array" ref="M13:M13">IF(ISERROR(MATCH(MID(N13,1,250),MID(note_ter,1,250),0)),"n","y")</f>
        <v>n</v>
      </c>
      <c r="N13" s="49"/>
      <c r="O13" s="122" t="str">
        <f aca="false">H13&amp;"("&amp;I13&amp;")"</f>
        <v>Серовский городской округ(65756000)</v>
      </c>
      <c r="P13" s="45"/>
      <c r="Q13" s="45"/>
      <c r="R13" s="159"/>
      <c r="S13" s="45"/>
      <c r="T13" s="45"/>
      <c r="U13" s="45"/>
      <c r="V13" s="56"/>
      <c r="W13" s="56"/>
      <c r="X13" s="160"/>
      <c r="Y13" s="160"/>
      <c r="Z13" s="160"/>
      <c r="AA13" s="160"/>
      <c r="AB13" s="160"/>
      <c r="AC13" s="55" t="n">
        <v>15</v>
      </c>
    </row>
    <row r="14" s="55" customFormat="true" ht="15.75" hidden="false" customHeight="true" outlineLevel="0" collapsed="false">
      <c r="A14" s="43"/>
      <c r="B14" s="45"/>
      <c r="C14" s="161"/>
      <c r="D14" s="162"/>
      <c r="E14" s="163"/>
      <c r="F14" s="164"/>
      <c r="G14" s="165" t="s">
        <v>100</v>
      </c>
      <c r="H14" s="166"/>
      <c r="I14" s="167"/>
      <c r="J14" s="49"/>
      <c r="K14" s="49"/>
      <c r="L14" s="49"/>
      <c r="M14" s="49"/>
      <c r="N14" s="122"/>
      <c r="O14" s="49"/>
      <c r="P14" s="45"/>
      <c r="Q14" s="45"/>
      <c r="R14" s="159"/>
      <c r="S14" s="45"/>
      <c r="T14" s="45"/>
      <c r="U14" s="45"/>
      <c r="V14" s="56"/>
      <c r="W14" s="56"/>
      <c r="X14" s="160"/>
      <c r="Y14" s="160"/>
      <c r="Z14" s="160"/>
      <c r="AA14" s="160"/>
      <c r="AB14" s="160"/>
      <c r="AC14" s="55" t="n">
        <v>15</v>
      </c>
    </row>
    <row r="15" s="133" customFormat="true" ht="14.25" hidden="false" customHeight="true" outlineLevel="0" collapsed="false">
      <c r="A15" s="42"/>
      <c r="B15" s="45"/>
      <c r="C15" s="42"/>
      <c r="D15" s="121"/>
      <c r="E15" s="168"/>
      <c r="F15" s="169"/>
      <c r="G15" s="170" t="s">
        <v>101</v>
      </c>
      <c r="H15" s="169"/>
      <c r="I15" s="171"/>
      <c r="J15" s="149"/>
      <c r="K15" s="122"/>
      <c r="L15" s="122"/>
      <c r="M15" s="122"/>
      <c r="N15" s="122" t="s">
        <v>102</v>
      </c>
      <c r="O15" s="122"/>
      <c r="P15" s="123"/>
      <c r="Q15" s="123"/>
      <c r="R15" s="123"/>
      <c r="S15" s="123"/>
      <c r="AC15" s="133" t="n">
        <v>14</v>
      </c>
    </row>
    <row r="16" s="133" customFormat="true" ht="21.75" hidden="false" customHeight="true" outlineLevel="0" collapsed="false">
      <c r="A16" s="42"/>
      <c r="B16" s="45"/>
      <c r="C16" s="42"/>
      <c r="D16" s="121"/>
      <c r="E16" s="172"/>
      <c r="F16" s="172"/>
      <c r="G16" s="172"/>
      <c r="H16" s="172"/>
      <c r="I16" s="172"/>
      <c r="J16" s="122"/>
      <c r="K16" s="122"/>
      <c r="L16" s="122"/>
      <c r="M16" s="122"/>
      <c r="N16" s="122"/>
      <c r="O16" s="122"/>
      <c r="P16" s="123"/>
      <c r="Q16" s="123"/>
      <c r="R16" s="123"/>
      <c r="S16" s="123"/>
      <c r="AC16" s="133" t="n">
        <v>21</v>
      </c>
    </row>
    <row r="17" s="133" customFormat="true" ht="14.25" hidden="false" customHeight="true" outlineLevel="0" collapsed="false">
      <c r="A17" s="42"/>
      <c r="B17" s="45"/>
      <c r="C17" s="42"/>
      <c r="D17" s="121"/>
      <c r="E17" s="42"/>
      <c r="F17" s="42"/>
      <c r="G17" s="42"/>
      <c r="H17" s="42"/>
      <c r="I17" s="42"/>
      <c r="J17" s="122"/>
      <c r="K17" s="122"/>
      <c r="L17" s="122"/>
      <c r="M17" s="122"/>
      <c r="N17" s="122"/>
      <c r="O17" s="122"/>
      <c r="P17" s="123"/>
      <c r="Q17" s="123"/>
      <c r="R17" s="123"/>
      <c r="S17" s="123"/>
      <c r="AC17" s="133" t="n">
        <v>14</v>
      </c>
    </row>
    <row r="18" s="133" customFormat="true" ht="0.75" hidden="false" customHeight="true" outlineLevel="0" collapsed="false">
      <c r="A18" s="42"/>
      <c r="B18" s="45"/>
      <c r="C18" s="42"/>
      <c r="D18" s="121"/>
      <c r="E18" s="42"/>
      <c r="F18" s="42"/>
      <c r="G18" s="42"/>
      <c r="H18" s="42"/>
      <c r="I18" s="42"/>
      <c r="J18" s="122"/>
      <c r="K18" s="122"/>
      <c r="L18" s="122"/>
      <c r="M18" s="122"/>
      <c r="N18" s="122"/>
      <c r="O18" s="122"/>
      <c r="P18" s="123"/>
      <c r="Q18" s="123"/>
      <c r="R18" s="123"/>
      <c r="S18" s="123"/>
      <c r="AC18" s="133" t="n">
        <v>1</v>
      </c>
    </row>
    <row r="19" s="173" customFormat="true" ht="10.5" hidden="false" customHeight="true" outlineLevel="0" collapsed="false">
      <c r="B19" s="174"/>
      <c r="D19" s="175"/>
      <c r="J19" s="122"/>
      <c r="K19" s="122"/>
      <c r="L19" s="122"/>
      <c r="M19" s="122"/>
      <c r="N19" s="122"/>
      <c r="O19" s="122"/>
      <c r="P19" s="123"/>
      <c r="Q19" s="123"/>
      <c r="R19" s="123"/>
      <c r="S19" s="123"/>
      <c r="AC19" s="173" t="n">
        <v>10</v>
      </c>
    </row>
    <row r="20" s="173" customFormat="true" ht="10.5" hidden="false" customHeight="true" outlineLevel="0" collapsed="false">
      <c r="B20" s="174"/>
      <c r="D20" s="175"/>
      <c r="J20" s="122"/>
      <c r="K20" s="122"/>
      <c r="L20" s="122"/>
      <c r="M20" s="122"/>
      <c r="N20" s="122"/>
      <c r="O20" s="122"/>
      <c r="P20" s="123"/>
      <c r="Q20" s="123"/>
      <c r="R20" s="123"/>
      <c r="S20" s="123"/>
      <c r="AC20" s="173" t="n">
        <v>10</v>
      </c>
    </row>
    <row r="21" customFormat="false" ht="14.25" hidden="false" customHeight="true" outlineLevel="0" collapsed="false">
      <c r="AC21" s="42" t="n">
        <v>14</v>
      </c>
    </row>
    <row r="22" customFormat="false" ht="14.25" hidden="false" customHeight="true" outlineLevel="0" collapsed="false">
      <c r="AC22" s="42" t="n">
        <v>14</v>
      </c>
    </row>
    <row r="23" customFormat="false" ht="14.25" hidden="false" customHeight="true" outlineLevel="0" collapsed="false">
      <c r="AC23" s="42" t="n">
        <v>14</v>
      </c>
    </row>
    <row r="24" customFormat="false" ht="14.25" hidden="false" customHeight="true" outlineLevel="0" collapsed="false">
      <c r="H24" s="176"/>
      <c r="AC24" s="42" t="n">
        <v>14</v>
      </c>
    </row>
    <row r="25" customFormat="false" ht="14.25" hidden="false" customHeight="true" outlineLevel="0" collapsed="false">
      <c r="AC25" s="42" t="n">
        <v>14</v>
      </c>
    </row>
    <row r="26" customFormat="false" ht="14.25" hidden="false" customHeight="true" outlineLevel="0" collapsed="false">
      <c r="AC26" s="42" t="n">
        <v>14</v>
      </c>
    </row>
    <row r="27" customFormat="false" ht="14.25" hidden="false" customHeight="true" outlineLevel="0" collapsed="false">
      <c r="AC27" s="42" t="n">
        <v>14</v>
      </c>
    </row>
    <row r="28" customFormat="false" ht="14.25" hidden="false" customHeight="true" outlineLevel="0" collapsed="false">
      <c r="J28" s="42"/>
      <c r="K28" s="42"/>
      <c r="L28" s="42"/>
      <c r="AC28" s="42" t="n">
        <v>14</v>
      </c>
    </row>
    <row r="29" customFormat="false" ht="22.5" hidden="true" customHeight="true" outlineLevel="0" collapsed="false">
      <c r="A29" s="42" t="s">
        <v>80</v>
      </c>
      <c r="B29" s="45" t="n">
        <v>0</v>
      </c>
      <c r="C29" s="42" t="n">
        <v>3</v>
      </c>
      <c r="D29" s="121" t="n">
        <v>3</v>
      </c>
      <c r="E29" s="42" t="n">
        <v>6</v>
      </c>
      <c r="F29" s="42" t="n">
        <v>0</v>
      </c>
      <c r="G29" s="42" t="n">
        <v>46</v>
      </c>
      <c r="H29" s="42" t="n">
        <v>42</v>
      </c>
      <c r="I29" s="42" t="n">
        <v>14</v>
      </c>
      <c r="J29" s="122" t="n">
        <v>3</v>
      </c>
      <c r="K29" s="122" t="n">
        <v>0</v>
      </c>
      <c r="L29" s="122" t="n">
        <v>0</v>
      </c>
      <c r="M29" s="122" t="n">
        <v>0</v>
      </c>
      <c r="N29" s="122" t="n">
        <v>0</v>
      </c>
      <c r="O29" s="122" t="n">
        <v>0</v>
      </c>
      <c r="P29" s="123" t="n">
        <v>0</v>
      </c>
      <c r="Q29" s="123" t="n">
        <v>0</v>
      </c>
      <c r="R29" s="123" t="n">
        <v>0</v>
      </c>
      <c r="S29" s="123" t="n">
        <v>0</v>
      </c>
      <c r="T29" s="42" t="n">
        <v>0</v>
      </c>
      <c r="U29" s="42" t="n">
        <v>0</v>
      </c>
      <c r="V29" s="42" t="n">
        <v>0</v>
      </c>
      <c r="W29" s="42" t="n">
        <v>0</v>
      </c>
      <c r="X29" s="42" t="n">
        <v>0</v>
      </c>
      <c r="Y29" s="42" t="n">
        <v>0</v>
      </c>
      <c r="Z29" s="42" t="n">
        <v>0</v>
      </c>
      <c r="AA29" s="42" t="n">
        <v>0</v>
      </c>
      <c r="AB29" s="42" t="n">
        <v>8</v>
      </c>
      <c r="AC29" s="42" t="n">
        <v>23</v>
      </c>
    </row>
  </sheetData>
  <mergeCells count="4">
    <mergeCell ref="E4:I4"/>
    <mergeCell ref="E8:G8"/>
    <mergeCell ref="H8:I8"/>
    <mergeCell ref="A12:A14"/>
  </mergeCells>
  <dataValidations count="1">
    <dataValidation allowBlank="true" error="Допускается ввод не более 900 символов!" errorStyle="stop" errorTitle="Ошибка" operator="lessThanOrEqual" showDropDown="false" showErrorMessage="true" showInputMessage="true" sqref="G12"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8" min="22" style="42" width="19.7"/>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19.7"/>
    <col collapsed="false" customWidth="true" hidden="false" outlineLevel="0" max="39" min="34" style="42" width="19"/>
    <col collapsed="false" customWidth="true" hidden="false" outlineLevel="0" max="40" min="40" style="42" width="11"/>
    <col collapsed="false" customWidth="true" hidden="false" outlineLevel="0" max="41" min="41" style="42" width="3.71"/>
    <col collapsed="false" customWidth="true" hidden="false" outlineLevel="0" max="42" min="42" style="42" width="11"/>
    <col collapsed="false" customWidth="true" hidden="true" outlineLevel="0" max="43" min="43" style="42" width="8.57"/>
    <col collapsed="false" customWidth="true" hidden="false" outlineLevel="0" max="44" min="44" style="42" width="4"/>
    <col collapsed="false" customWidth="true" hidden="false" outlineLevel="0" max="45" min="45" style="42" width="115"/>
    <col collapsed="false" customWidth="true" hidden="false" outlineLevel="0" max="50" min="46" style="49" width="10"/>
    <col collapsed="false" customWidth="false" hidden="true" outlineLevel="0" max="51" min="51" style="42" width="10.57"/>
  </cols>
  <sheetData>
    <row r="1" customFormat="false" ht="22.5" hidden="true" customHeight="true" outlineLevel="0" collapsed="false">
      <c r="AY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5"/>
      <c r="AE2" s="425"/>
      <c r="AF2" s="425"/>
      <c r="AG2" s="426" t="e">
        <f aca="false">INDEX(PT_DIFFERENTIATION_NTAR,MATCH(A2,PT_DIFFERENTIATION_NTAR_ID,0))</f>
        <v>#N/A</v>
      </c>
      <c r="AH2" s="426"/>
      <c r="AI2" s="426"/>
      <c r="AJ2" s="426"/>
      <c r="AK2" s="426"/>
      <c r="AL2" s="426"/>
      <c r="AM2" s="426"/>
      <c r="AN2" s="426"/>
      <c r="AO2" s="426"/>
      <c r="AP2" s="426"/>
      <c r="AQ2" s="426"/>
      <c r="AR2" s="426"/>
      <c r="AS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2"/>
      <c r="AV2" s="122" t="str">
        <f aca="false">IF(T2="","",T2)</f>
        <v>Наименование тарифа</v>
      </c>
      <c r="AW2" s="122"/>
      <c r="AX2" s="122"/>
      <c r="AY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5"/>
      <c r="AE3" s="425"/>
      <c r="AF3" s="425"/>
      <c r="AG3" s="426" t="e">
        <f aca="false">INDEX(PT_DIFFERENTIATION_TER,MATCH(B3,PT_DIFFERENTIATION_TER_ID,0))</f>
        <v>#N/A</v>
      </c>
      <c r="AH3" s="426"/>
      <c r="AI3" s="426"/>
      <c r="AJ3" s="426"/>
      <c r="AK3" s="426"/>
      <c r="AL3" s="426"/>
      <c r="AM3" s="426"/>
      <c r="AN3" s="426"/>
      <c r="AO3" s="426"/>
      <c r="AP3" s="426"/>
      <c r="AQ3" s="426"/>
      <c r="AR3" s="426"/>
      <c r="AS3" s="427" t="s">
        <v>395</v>
      </c>
      <c r="AU3" s="122"/>
      <c r="AV3" s="122" t="str">
        <f aca="false">IF(T3="","",T3)</f>
        <v>Территория действия тарифа</v>
      </c>
      <c r="AW3" s="122"/>
      <c r="AX3" s="122"/>
      <c r="AY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527</v>
      </c>
      <c r="U4" s="424"/>
      <c r="V4" s="425"/>
      <c r="W4" s="425"/>
      <c r="X4" s="425"/>
      <c r="Y4" s="425"/>
      <c r="Z4" s="425"/>
      <c r="AA4" s="425"/>
      <c r="AB4" s="425"/>
      <c r="AC4" s="425"/>
      <c r="AD4" s="425"/>
      <c r="AE4" s="425"/>
      <c r="AF4" s="425"/>
      <c r="AG4" s="426" t="e">
        <f aca="false">INDEX(PT_DIFFERENTIATION_CS,MATCH(C4,PT_DIFFERENTIATION_CS_ID,0))</f>
        <v>#N/A</v>
      </c>
      <c r="AH4" s="426"/>
      <c r="AI4" s="426"/>
      <c r="AJ4" s="426"/>
      <c r="AK4" s="426"/>
      <c r="AL4" s="426"/>
      <c r="AM4" s="426"/>
      <c r="AN4" s="426"/>
      <c r="AO4" s="426"/>
      <c r="AP4" s="426"/>
      <c r="AQ4" s="426"/>
      <c r="AR4" s="426"/>
      <c r="AS4" s="427" t="s">
        <v>528</v>
      </c>
      <c r="AU4" s="122"/>
      <c r="AV4" s="122" t="str">
        <f aca="false">IF(T4="","",T4)</f>
        <v>Наименование централизованной системы горячего водоснабжения</v>
      </c>
      <c r="AW4" s="122"/>
      <c r="AX4" s="122"/>
      <c r="AY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581"/>
      <c r="AD5" s="581"/>
      <c r="AE5" s="581"/>
      <c r="AF5" s="581"/>
      <c r="AG5" s="333"/>
      <c r="AH5" s="333"/>
      <c r="AI5" s="333"/>
      <c r="AJ5" s="333"/>
      <c r="AK5" s="333"/>
      <c r="AL5" s="333"/>
      <c r="AM5" s="333"/>
      <c r="AN5" s="333"/>
      <c r="AO5" s="333"/>
      <c r="AP5" s="333"/>
      <c r="AQ5" s="333"/>
      <c r="AR5" s="333"/>
      <c r="AS5" s="427" t="s">
        <v>481</v>
      </c>
      <c r="AU5" s="122"/>
      <c r="AV5" s="122" t="str">
        <f aca="false">IF(T5="","",T5)</f>
        <v>Наименование признака дифференциации</v>
      </c>
      <c r="AW5" s="122"/>
      <c r="AX5" s="122"/>
      <c r="AY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532" t="s">
        <v>482</v>
      </c>
      <c r="AU6" s="122"/>
      <c r="AV6" s="122" t="str">
        <f aca="false">IF(T6="","",T6)</f>
        <v>Группа потребителей</v>
      </c>
      <c r="AW6" s="122"/>
      <c r="AX6" s="122"/>
      <c r="AY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1"/>
      <c r="Y7" s="441"/>
      <c r="Z7" s="441"/>
      <c r="AA7" s="441"/>
      <c r="AB7" s="441"/>
      <c r="AC7" s="444"/>
      <c r="AD7" s="206" t="s">
        <v>64</v>
      </c>
      <c r="AE7" s="444"/>
      <c r="AF7" s="206" t="s">
        <v>64</v>
      </c>
      <c r="AG7" s="441"/>
      <c r="AH7" s="441"/>
      <c r="AI7" s="441"/>
      <c r="AJ7" s="441"/>
      <c r="AK7" s="441"/>
      <c r="AL7" s="441"/>
      <c r="AM7" s="441"/>
      <c r="AN7" s="444"/>
      <c r="AO7" s="206" t="s">
        <v>64</v>
      </c>
      <c r="AP7" s="444"/>
      <c r="AQ7" s="206" t="s">
        <v>64</v>
      </c>
      <c r="AR7" s="583"/>
      <c r="AS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9" t="e">
        <f aca="false">strcheckdate(V8:AR8)</f>
        <v>#NAME?</v>
      </c>
      <c r="AU7" s="122"/>
      <c r="AV7" s="122" t="str">
        <f aca="false">IF(T7="","",T7)</f>
        <v/>
      </c>
      <c r="AW7" s="122"/>
      <c r="AX7" s="122"/>
      <c r="AY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2"/>
      <c r="Y8" s="442"/>
      <c r="Z8" s="442"/>
      <c r="AA8" s="442"/>
      <c r="AB8" s="442"/>
      <c r="AC8" s="444"/>
      <c r="AD8" s="206"/>
      <c r="AE8" s="444"/>
      <c r="AF8" s="206"/>
      <c r="AG8" s="442"/>
      <c r="AH8" s="442"/>
      <c r="AI8" s="442"/>
      <c r="AJ8" s="442"/>
      <c r="AK8" s="442"/>
      <c r="AL8" s="442"/>
      <c r="AM8" s="442"/>
      <c r="AN8" s="444"/>
      <c r="AO8" s="206"/>
      <c r="AP8" s="444"/>
      <c r="AQ8" s="206"/>
      <c r="AR8" s="585"/>
      <c r="AS8" s="445"/>
      <c r="AU8" s="122"/>
      <c r="AV8" s="122" t="str">
        <f aca="false">IF(T8="","",T8)</f>
        <v/>
      </c>
      <c r="AW8" s="122"/>
      <c r="AX8" s="122"/>
      <c r="AY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427" t="s">
        <v>484</v>
      </c>
      <c r="AU9" s="122"/>
      <c r="AV9" s="122" t="str">
        <f aca="false">IF(T9="","",T9)</f>
        <v>Добавить значение признака дифференциации</v>
      </c>
      <c r="AW9" s="122"/>
      <c r="AX9" s="122"/>
      <c r="AY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196"/>
      <c r="AC10" s="196"/>
      <c r="AD10" s="196"/>
      <c r="AE10" s="196"/>
      <c r="AF10" s="451"/>
      <c r="AG10" s="196"/>
      <c r="AH10" s="196"/>
      <c r="AI10" s="196"/>
      <c r="AJ10" s="196"/>
      <c r="AK10" s="196"/>
      <c r="AL10" s="196"/>
      <c r="AM10" s="196"/>
      <c r="AN10" s="196"/>
      <c r="AO10" s="196"/>
      <c r="AP10" s="196"/>
      <c r="AQ10" s="451"/>
      <c r="AR10" s="196"/>
      <c r="AS10" s="586"/>
      <c r="AU10" s="122"/>
      <c r="AV10" s="122" t="str">
        <f aca="false">IF(T10="","",T10)</f>
        <v>Добавить группу потребителей</v>
      </c>
      <c r="AW10" s="122"/>
      <c r="AX10" s="122"/>
      <c r="AY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196"/>
      <c r="AC11" s="196"/>
      <c r="AD11" s="196"/>
      <c r="AE11" s="196"/>
      <c r="AF11" s="451"/>
      <c r="AG11" s="196"/>
      <c r="AH11" s="196"/>
      <c r="AI11" s="196"/>
      <c r="AJ11" s="196"/>
      <c r="AK11" s="196"/>
      <c r="AL11" s="196"/>
      <c r="AM11" s="196"/>
      <c r="AN11" s="196"/>
      <c r="AO11" s="196"/>
      <c r="AP11" s="196"/>
      <c r="AQ11" s="451"/>
      <c r="AR11" s="196"/>
      <c r="AS11" s="452"/>
      <c r="AU11" s="122"/>
      <c r="AV11" s="122" t="str">
        <f aca="false">IF(T11="","",T11)</f>
        <v>Добавить наименование признака дифференциации</v>
      </c>
      <c r="AW11" s="122"/>
      <c r="AX11" s="122"/>
      <c r="AY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L12" s="462"/>
      <c r="AM12" s="462"/>
      <c r="AN12" s="462"/>
      <c r="AO12" s="462"/>
      <c r="AP12" s="462"/>
      <c r="AQ12" s="462"/>
      <c r="AR12" s="462"/>
      <c r="AS12" s="462"/>
      <c r="AU12" s="122"/>
      <c r="AV12" s="122" t="str">
        <f aca="false">IF(T12="","",T12)</f>
        <v>Добавить централизованную систему для дифференциации</v>
      </c>
      <c r="AW12" s="122"/>
      <c r="AX12" s="122"/>
      <c r="AY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L13" s="462"/>
      <c r="AM13" s="462"/>
      <c r="AN13" s="462"/>
      <c r="AO13" s="462"/>
      <c r="AP13" s="462"/>
      <c r="AQ13" s="462"/>
      <c r="AR13" s="462"/>
      <c r="AS13" s="462"/>
      <c r="AU13" s="122"/>
      <c r="AV13" s="122" t="str">
        <f aca="false">IF(T13="","",T13)</f>
        <v>Добавить территорию для дифференциации</v>
      </c>
      <c r="AW13" s="122"/>
      <c r="AX13" s="122"/>
      <c r="AY13" s="49" t="n">
        <v>0</v>
      </c>
    </row>
    <row r="14" customFormat="false" ht="14.25" hidden="true" customHeight="true" outlineLevel="0" collapsed="false">
      <c r="AY14" s="42" t="n">
        <v>0</v>
      </c>
    </row>
    <row r="15" customFormat="false" ht="14.25" hidden="true" customHeight="true" outlineLevel="0" collapsed="false">
      <c r="AG15" s="464"/>
      <c r="AH15" s="464"/>
      <c r="AI15" s="464"/>
      <c r="AJ15" s="464"/>
      <c r="AK15" s="464"/>
      <c r="AL15" s="464"/>
      <c r="AM15" s="464"/>
      <c r="AN15" s="466"/>
      <c r="AO15" s="467" t="s">
        <v>64</v>
      </c>
      <c r="AP15" s="466"/>
      <c r="AQ15" s="467" t="s">
        <v>64</v>
      </c>
      <c r="AY15" s="42" t="n">
        <v>0</v>
      </c>
    </row>
    <row r="16" customFormat="false" ht="14.25" hidden="true" customHeight="true" outlineLevel="0" collapsed="false">
      <c r="AG16" s="464"/>
      <c r="AH16" s="464"/>
      <c r="AI16" s="464"/>
      <c r="AJ16" s="464"/>
      <c r="AK16" s="464"/>
      <c r="AL16" s="464"/>
      <c r="AM16" s="464"/>
      <c r="AN16" s="466"/>
      <c r="AO16" s="466"/>
      <c r="AP16" s="466"/>
      <c r="AQ16" s="466"/>
      <c r="AY16" s="42" t="n">
        <v>0</v>
      </c>
    </row>
    <row r="17" customFormat="false" ht="14.25" hidden="true" customHeight="true" outlineLevel="0" collapsed="false">
      <c r="AY17" s="42" t="n">
        <v>0</v>
      </c>
    </row>
    <row r="18" s="45" customFormat="true" ht="22.5" hidden="true" customHeight="true" outlineLevel="0" collapsed="false">
      <c r="L18" s="107"/>
      <c r="M18" s="53"/>
      <c r="N18" s="53"/>
      <c r="O18" s="468" t="s">
        <v>414</v>
      </c>
      <c r="P18" s="53"/>
      <c r="Q18" s="469"/>
      <c r="R18" s="469"/>
      <c r="S18" s="420"/>
      <c r="AC18" s="468"/>
      <c r="AE18" s="468"/>
      <c r="AN18" s="468"/>
      <c r="AP18" s="468"/>
      <c r="AT18" s="49"/>
      <c r="AU18" s="49"/>
      <c r="AV18" s="49"/>
      <c r="AW18" s="49"/>
      <c r="AX18" s="49"/>
      <c r="AY18" s="45" t="n">
        <v>0</v>
      </c>
    </row>
    <row r="19" s="45" customFormat="true" ht="14.25" hidden="true" customHeight="true" outlineLevel="0" collapsed="false">
      <c r="L19" s="107"/>
      <c r="M19" s="53"/>
      <c r="N19" s="53"/>
      <c r="O19" s="53"/>
      <c r="P19" s="53"/>
      <c r="Q19" s="469"/>
      <c r="R19" s="469"/>
      <c r="S19" s="420"/>
      <c r="AT19" s="49"/>
      <c r="AU19" s="49"/>
      <c r="AV19" s="49"/>
      <c r="AW19" s="49"/>
      <c r="AX19" s="49"/>
      <c r="AY19" s="45" t="n">
        <v>0</v>
      </c>
    </row>
    <row r="20" s="45" customFormat="true" ht="12" hidden="true" customHeight="true" outlineLevel="0" collapsed="false">
      <c r="L20" s="107"/>
      <c r="M20" s="53"/>
      <c r="N20" s="53"/>
      <c r="O20" s="419" t="s">
        <v>415</v>
      </c>
      <c r="P20" s="53"/>
      <c r="Q20" s="588"/>
      <c r="R20" s="588"/>
      <c r="S20" s="420"/>
      <c r="T20" s="45" t="s">
        <v>416</v>
      </c>
      <c r="AD20" s="144" t="s">
        <v>417</v>
      </c>
      <c r="AF20" s="144" t="s">
        <v>418</v>
      </c>
      <c r="AG20" s="45" t="s">
        <v>416</v>
      </c>
      <c r="AO20" s="144" t="s">
        <v>419</v>
      </c>
      <c r="AQ20" s="144" t="s">
        <v>418</v>
      </c>
      <c r="AY20" s="45" t="n">
        <v>0</v>
      </c>
    </row>
    <row r="21" customFormat="false" ht="14.25" hidden="true" customHeight="true" outlineLevel="0" collapsed="false">
      <c r="O21" s="419"/>
      <c r="AY21" s="42" t="n">
        <v>0</v>
      </c>
    </row>
    <row r="22" customFormat="false" ht="14.25" hidden="true" customHeight="true" outlineLevel="0" collapsed="false">
      <c r="O22" s="419"/>
      <c r="AY22" s="42" t="n">
        <v>0</v>
      </c>
    </row>
    <row r="23" customFormat="false" ht="14.25" hidden="false" customHeight="true" outlineLevel="0" collapsed="false">
      <c r="Q23" s="470"/>
      <c r="R23" s="470"/>
      <c r="S23" s="471"/>
      <c r="T23" s="83"/>
      <c r="U23" s="83"/>
      <c r="AY23" s="42" t="n">
        <v>14</v>
      </c>
    </row>
    <row r="24" customFormat="false" ht="26.25" hidden="false" customHeight="true" outlineLevel="0" collapsed="false">
      <c r="Q24" s="470"/>
      <c r="R24" s="470"/>
      <c r="S24" s="215"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7"/>
      <c r="AY24" s="42" t="n">
        <v>25</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17"/>
      <c r="AY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J26" s="472"/>
      <c r="AK26" s="472"/>
      <c r="AL26" s="472"/>
      <c r="AM26" s="472"/>
      <c r="AN26" s="472"/>
      <c r="AO26" s="472"/>
      <c r="AP26" s="472"/>
      <c r="AQ26" s="472"/>
      <c r="AY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75"/>
      <c r="AC27" s="475"/>
      <c r="AD27" s="475"/>
      <c r="AE27" s="475"/>
      <c r="AF27" s="42"/>
      <c r="AG27" s="475" t="str">
        <f aca="false">IF(TITLE_NAME_OR_PR_CHANGE="",IF(TITLE_NAME_OR_PR="","",TITLE_NAME_OR_PR),TITLE_NAME_OR_PR_CHANGE)</f>
        <v/>
      </c>
      <c r="AH27" s="475"/>
      <c r="AI27" s="475"/>
      <c r="AJ27" s="475"/>
      <c r="AK27" s="475"/>
      <c r="AL27" s="475"/>
      <c r="AM27" s="475"/>
      <c r="AN27" s="475"/>
      <c r="AO27" s="475"/>
      <c r="AP27" s="475"/>
      <c r="AQ27" s="42"/>
      <c r="AR27" s="42"/>
      <c r="AS27" s="476"/>
      <c r="AT27" s="122"/>
      <c r="AU27" s="122"/>
      <c r="AV27" s="122"/>
      <c r="AW27" s="122"/>
      <c r="AX27" s="122"/>
      <c r="AY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77"/>
      <c r="AC28" s="477"/>
      <c r="AD28" s="477"/>
      <c r="AE28" s="477"/>
      <c r="AF28" s="42"/>
      <c r="AG28" s="477" t="str">
        <f aca="false">IF(TITLE_DATE_PR_CHANGE="",IF(TITLE_DATE_PR="","",TITLE_DATE_PR),TITLE_DATE_PR_CHANGE)</f>
        <v/>
      </c>
      <c r="AH28" s="477"/>
      <c r="AI28" s="477"/>
      <c r="AJ28" s="477"/>
      <c r="AK28" s="477"/>
      <c r="AL28" s="477"/>
      <c r="AM28" s="477"/>
      <c r="AN28" s="477"/>
      <c r="AO28" s="477"/>
      <c r="AP28" s="477"/>
      <c r="AQ28" s="42"/>
      <c r="AR28" s="42"/>
      <c r="AS28" s="476"/>
      <c r="AT28" s="122"/>
      <c r="AU28" s="122"/>
      <c r="AV28" s="122"/>
      <c r="AW28" s="122"/>
      <c r="AX28" s="122"/>
      <c r="AY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75"/>
      <c r="AC29" s="475"/>
      <c r="AD29" s="475"/>
      <c r="AE29" s="475"/>
      <c r="AF29" s="42"/>
      <c r="AG29" s="475" t="str">
        <f aca="false">IF(TITLE_NUMBER_PR_CHANGE="",IF(TITLE_NUMBER_PR="","",TITLE_NUMBER_PR),TITLE_NUMBER_PR_CHANGE)</f>
        <v/>
      </c>
      <c r="AH29" s="475"/>
      <c r="AI29" s="475"/>
      <c r="AJ29" s="475"/>
      <c r="AK29" s="475"/>
      <c r="AL29" s="475"/>
      <c r="AM29" s="475"/>
      <c r="AN29" s="475"/>
      <c r="AO29" s="475"/>
      <c r="AP29" s="475"/>
      <c r="AQ29" s="42"/>
      <c r="AR29" s="42"/>
      <c r="AS29" s="476"/>
      <c r="AT29" s="122"/>
      <c r="AU29" s="122"/>
      <c r="AV29" s="122"/>
      <c r="AW29" s="122"/>
      <c r="AX29" s="122"/>
      <c r="AY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75"/>
      <c r="AC30" s="475"/>
      <c r="AD30" s="475"/>
      <c r="AE30" s="475"/>
      <c r="AF30" s="42"/>
      <c r="AG30" s="475" t="str">
        <f aca="false">IF(TITLE_IST_PUB_CHANGE="",IF(TITLE_IST_PUB="","",TITLE_IST_PUB),TITLE_IST_PUB_CHANGE)</f>
        <v/>
      </c>
      <c r="AH30" s="475"/>
      <c r="AI30" s="475"/>
      <c r="AJ30" s="475"/>
      <c r="AK30" s="475"/>
      <c r="AL30" s="475"/>
      <c r="AM30" s="475"/>
      <c r="AN30" s="475"/>
      <c r="AO30" s="475"/>
      <c r="AP30" s="475"/>
      <c r="AQ30" s="42"/>
      <c r="AR30" s="42"/>
      <c r="AS30" s="476"/>
      <c r="AT30" s="122"/>
      <c r="AU30" s="122"/>
      <c r="AV30" s="122"/>
      <c r="AW30" s="122"/>
      <c r="AX30" s="122"/>
      <c r="AY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J31" s="472"/>
      <c r="AK31" s="472"/>
      <c r="AL31" s="472"/>
      <c r="AM31" s="472"/>
      <c r="AN31" s="472"/>
      <c r="AO31" s="472"/>
      <c r="AP31" s="472"/>
      <c r="AQ31" s="472"/>
      <c r="AY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77"/>
      <c r="AC32" s="477"/>
      <c r="AD32" s="477"/>
      <c r="AE32" s="477"/>
      <c r="AF32" s="42"/>
      <c r="AG32" s="477" t="str">
        <f aca="false">IF(TITLE_DATE_PR_CHANGE="",IF(TITLE_DATE_PR="","",TITLE_DATE_PR),TITLE_DATE_PR_CHANGE)</f>
        <v/>
      </c>
      <c r="AH32" s="477"/>
      <c r="AI32" s="477"/>
      <c r="AJ32" s="477"/>
      <c r="AK32" s="477"/>
      <c r="AL32" s="477"/>
      <c r="AM32" s="477"/>
      <c r="AN32" s="477"/>
      <c r="AO32" s="477"/>
      <c r="AP32" s="477"/>
      <c r="AQ32" s="42"/>
      <c r="AR32" s="42"/>
      <c r="AS32" s="476"/>
      <c r="AT32" s="122"/>
      <c r="AU32" s="122"/>
      <c r="AV32" s="122"/>
      <c r="AW32" s="122"/>
      <c r="AX32" s="122"/>
      <c r="AY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75"/>
      <c r="AC33" s="475"/>
      <c r="AD33" s="475"/>
      <c r="AE33" s="475"/>
      <c r="AF33" s="42"/>
      <c r="AG33" s="475" t="str">
        <f aca="false">IF(TITLE_NUMBER_PR_CHANGE="",IF(TITLE_NUMBER_PR="","",TITLE_NUMBER_PR),TITLE_NUMBER_PR_CHANGE)</f>
        <v/>
      </c>
      <c r="AH33" s="475"/>
      <c r="AI33" s="475"/>
      <c r="AJ33" s="475"/>
      <c r="AK33" s="475"/>
      <c r="AL33" s="475"/>
      <c r="AM33" s="475"/>
      <c r="AN33" s="475"/>
      <c r="AO33" s="475"/>
      <c r="AP33" s="475"/>
      <c r="AQ33" s="42"/>
      <c r="AR33" s="42"/>
      <c r="AS33" s="476"/>
      <c r="AT33" s="122"/>
      <c r="AU33" s="122"/>
      <c r="AV33" s="122"/>
      <c r="AW33" s="122"/>
      <c r="AX33" s="122"/>
      <c r="AY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2"/>
      <c r="AC34" s="42"/>
      <c r="AD34" s="42"/>
      <c r="AE34" s="42"/>
      <c r="AF34" s="49" t="s">
        <v>424</v>
      </c>
      <c r="AG34" s="42"/>
      <c r="AH34" s="42"/>
      <c r="AI34" s="42"/>
      <c r="AJ34" s="42"/>
      <c r="AK34" s="42"/>
      <c r="AL34" s="42"/>
      <c r="AM34" s="42"/>
      <c r="AN34" s="42"/>
      <c r="AO34" s="42"/>
      <c r="AP34" s="42"/>
      <c r="AQ34" s="49" t="s">
        <v>424</v>
      </c>
      <c r="AT34" s="122"/>
      <c r="AU34" s="122"/>
      <c r="AV34" s="122"/>
      <c r="AW34" s="122"/>
      <c r="AX34" s="122"/>
      <c r="AY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Y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t="s">
        <v>298</v>
      </c>
      <c r="AY36" s="42" t="n">
        <v>14</v>
      </c>
    </row>
    <row r="37" customFormat="false" ht="14.25" hidden="false" customHeight="true" outlineLevel="0" collapsed="false">
      <c r="Q37" s="470"/>
      <c r="R37" s="470"/>
      <c r="S37" s="422" t="s">
        <v>86</v>
      </c>
      <c r="T37" s="395" t="s">
        <v>425</v>
      </c>
      <c r="U37" s="481"/>
      <c r="V37" s="294" t="s">
        <v>426</v>
      </c>
      <c r="W37" s="294"/>
      <c r="X37" s="294"/>
      <c r="Y37" s="294"/>
      <c r="Z37" s="294"/>
      <c r="AA37" s="294"/>
      <c r="AB37" s="294"/>
      <c r="AC37" s="294"/>
      <c r="AD37" s="294"/>
      <c r="AE37" s="294"/>
      <c r="AF37" s="395" t="s">
        <v>427</v>
      </c>
      <c r="AG37" s="294" t="s">
        <v>426</v>
      </c>
      <c r="AH37" s="294"/>
      <c r="AI37" s="294"/>
      <c r="AJ37" s="294"/>
      <c r="AK37" s="294"/>
      <c r="AL37" s="294"/>
      <c r="AM37" s="294"/>
      <c r="AN37" s="294"/>
      <c r="AO37" s="294"/>
      <c r="AP37" s="294"/>
      <c r="AQ37" s="395" t="s">
        <v>428</v>
      </c>
      <c r="AR37" s="482" t="s">
        <v>429</v>
      </c>
      <c r="AS37" s="138"/>
      <c r="AY37" s="42" t="n">
        <v>14</v>
      </c>
    </row>
    <row r="38" customFormat="false" ht="19.5" hidden="false" customHeight="true" outlineLevel="0" collapsed="false">
      <c r="Q38" s="470"/>
      <c r="R38" s="470"/>
      <c r="S38" s="422"/>
      <c r="T38" s="395"/>
      <c r="U38" s="483"/>
      <c r="V38" s="150" t="s">
        <v>529</v>
      </c>
      <c r="W38" s="607" t="s">
        <v>530</v>
      </c>
      <c r="X38" s="607"/>
      <c r="Y38" s="607"/>
      <c r="Z38" s="607" t="s">
        <v>531</v>
      </c>
      <c r="AA38" s="607"/>
      <c r="AB38" s="607"/>
      <c r="AC38" s="138" t="s">
        <v>433</v>
      </c>
      <c r="AD38" s="138"/>
      <c r="AE38" s="138"/>
      <c r="AF38" s="395"/>
      <c r="AG38" s="150" t="s">
        <v>529</v>
      </c>
      <c r="AH38" s="607" t="s">
        <v>530</v>
      </c>
      <c r="AI38" s="607"/>
      <c r="AJ38" s="607"/>
      <c r="AK38" s="607" t="s">
        <v>531</v>
      </c>
      <c r="AL38" s="607"/>
      <c r="AM38" s="607"/>
      <c r="AN38" s="138" t="s">
        <v>433</v>
      </c>
      <c r="AO38" s="138"/>
      <c r="AP38" s="138"/>
      <c r="AQ38" s="395"/>
      <c r="AR38" s="482"/>
      <c r="AS38" s="138"/>
      <c r="AY38" s="42" t="n">
        <v>19</v>
      </c>
    </row>
    <row r="39" s="42" customFormat="true" ht="19.5" hidden="false" customHeight="true" outlineLevel="0" collapsed="false">
      <c r="A39" s="45"/>
      <c r="B39" s="45"/>
      <c r="C39" s="45"/>
      <c r="D39" s="45"/>
      <c r="E39" s="45"/>
      <c r="F39" s="45"/>
      <c r="G39" s="45"/>
      <c r="H39" s="45"/>
      <c r="I39" s="45"/>
      <c r="J39" s="45"/>
      <c r="K39" s="45"/>
      <c r="L39" s="107"/>
      <c r="M39" s="53"/>
      <c r="N39" s="53"/>
      <c r="O39" s="53"/>
      <c r="P39" s="52"/>
      <c r="Q39" s="470"/>
      <c r="R39" s="470"/>
      <c r="S39" s="422"/>
      <c r="T39" s="395"/>
      <c r="U39" s="483"/>
      <c r="V39" s="150"/>
      <c r="W39" s="607" t="s">
        <v>532</v>
      </c>
      <c r="X39" s="607" t="s">
        <v>533</v>
      </c>
      <c r="Y39" s="607"/>
      <c r="Z39" s="607" t="s">
        <v>534</v>
      </c>
      <c r="AA39" s="607" t="s">
        <v>533</v>
      </c>
      <c r="AB39" s="607"/>
      <c r="AC39" s="138"/>
      <c r="AD39" s="138"/>
      <c r="AE39" s="138"/>
      <c r="AF39" s="395"/>
      <c r="AG39" s="150"/>
      <c r="AH39" s="607" t="s">
        <v>532</v>
      </c>
      <c r="AI39" s="607" t="s">
        <v>533</v>
      </c>
      <c r="AJ39" s="607"/>
      <c r="AK39" s="607" t="s">
        <v>534</v>
      </c>
      <c r="AL39" s="607" t="s">
        <v>533</v>
      </c>
      <c r="AM39" s="607"/>
      <c r="AN39" s="138"/>
      <c r="AO39" s="138"/>
      <c r="AP39" s="138"/>
      <c r="AQ39" s="395"/>
      <c r="AR39" s="482"/>
      <c r="AS39" s="138"/>
      <c r="AT39" s="49"/>
      <c r="AU39" s="49"/>
      <c r="AV39" s="49"/>
      <c r="AW39" s="49"/>
      <c r="AX39" s="49"/>
      <c r="AY39" s="42" t="n">
        <v>19</v>
      </c>
    </row>
    <row r="40" customFormat="false" ht="61.5" hidden="false" customHeight="true" outlineLevel="0" collapsed="false">
      <c r="A40" s="144"/>
      <c r="B40" s="144" t="s">
        <v>134</v>
      </c>
      <c r="C40" s="144" t="s">
        <v>135</v>
      </c>
      <c r="D40" s="144" t="s">
        <v>136</v>
      </c>
      <c r="E40" s="419" t="s">
        <v>434</v>
      </c>
      <c r="F40" s="419" t="s">
        <v>435</v>
      </c>
      <c r="G40" s="419" t="s">
        <v>436</v>
      </c>
      <c r="H40" s="419"/>
      <c r="I40" s="419" t="s">
        <v>487</v>
      </c>
      <c r="J40" s="419" t="s">
        <v>439</v>
      </c>
      <c r="K40" s="419" t="s">
        <v>488</v>
      </c>
      <c r="L40" s="419" t="s">
        <v>415</v>
      </c>
      <c r="Q40" s="470"/>
      <c r="R40" s="470"/>
      <c r="S40" s="422"/>
      <c r="T40" s="395"/>
      <c r="U40" s="485"/>
      <c r="V40" s="150"/>
      <c r="W40" s="607"/>
      <c r="X40" s="607" t="s">
        <v>535</v>
      </c>
      <c r="Y40" s="607" t="s">
        <v>536</v>
      </c>
      <c r="Z40" s="607"/>
      <c r="AA40" s="607" t="s">
        <v>537</v>
      </c>
      <c r="AB40" s="607" t="s">
        <v>538</v>
      </c>
      <c r="AC40" s="220" t="s">
        <v>443</v>
      </c>
      <c r="AD40" s="220" t="s">
        <v>444</v>
      </c>
      <c r="AE40" s="220"/>
      <c r="AF40" s="395"/>
      <c r="AG40" s="150"/>
      <c r="AH40" s="607"/>
      <c r="AI40" s="607" t="s">
        <v>535</v>
      </c>
      <c r="AJ40" s="607" t="s">
        <v>536</v>
      </c>
      <c r="AK40" s="607"/>
      <c r="AL40" s="607" t="s">
        <v>537</v>
      </c>
      <c r="AM40" s="607" t="s">
        <v>538</v>
      </c>
      <c r="AN40" s="220" t="s">
        <v>443</v>
      </c>
      <c r="AO40" s="220" t="s">
        <v>444</v>
      </c>
      <c r="AP40" s="220"/>
      <c r="AQ40" s="395"/>
      <c r="AR40" s="482"/>
      <c r="AS40" s="138"/>
      <c r="AY40" s="42" t="n">
        <v>59</v>
      </c>
    </row>
    <row r="41" s="124" customFormat="true" ht="11.25" hidden="true" customHeight="true" outlineLevel="0" collapsed="false">
      <c r="A41" s="144"/>
      <c r="B41" s="144"/>
      <c r="C41" s="144"/>
      <c r="D41" s="144"/>
      <c r="E41" s="144"/>
      <c r="F41" s="144"/>
      <c r="G41" s="144"/>
      <c r="H41" s="144"/>
      <c r="I41" s="144"/>
      <c r="J41" s="144"/>
      <c r="K41" s="144"/>
      <c r="L41" s="419"/>
      <c r="M41" s="53"/>
      <c r="N41" s="53"/>
      <c r="O41" s="53"/>
      <c r="P41" s="486"/>
      <c r="Q41" s="487"/>
      <c r="R41" s="488" t="n">
        <v>1</v>
      </c>
      <c r="S41" s="489" t="s">
        <v>107</v>
      </c>
      <c r="T41" s="490" t="s">
        <v>108</v>
      </c>
      <c r="U41" s="491" t="str">
        <f aca="true">OFFSET(U41,0,-1)</f>
        <v>2</v>
      </c>
      <c r="V41" s="492" t="n">
        <f aca="true">OFFSET(V41,0,-1)+1</f>
        <v>3</v>
      </c>
      <c r="W41" s="367"/>
      <c r="X41" s="367"/>
      <c r="Y41" s="367"/>
      <c r="Z41" s="367"/>
      <c r="AA41" s="367"/>
      <c r="AB41" s="367"/>
      <c r="AC41" s="492" t="n">
        <f aca="true">OFFSET(AC41,0,-1)+1</f>
        <v>1</v>
      </c>
      <c r="AD41" s="492" t="n">
        <f aca="true">OFFSET(AD41,0,-1)+1</f>
        <v>2</v>
      </c>
      <c r="AE41" s="492"/>
      <c r="AF41" s="492" t="n">
        <f aca="true">OFFSET(AF41,0,-2)+1</f>
        <v>3</v>
      </c>
      <c r="AG41" s="492" t="n">
        <f aca="true">OFFSET(AG41,0,-1)+1</f>
        <v>4</v>
      </c>
      <c r="AH41" s="492"/>
      <c r="AI41" s="492"/>
      <c r="AJ41" s="492"/>
      <c r="AK41" s="492"/>
      <c r="AL41" s="492"/>
      <c r="AM41" s="492" t="n">
        <f aca="true">OFFSET(AM41,0,-1)+1</f>
        <v>1</v>
      </c>
      <c r="AN41" s="492" t="n">
        <f aca="true">OFFSET(AN41,0,-1)+1</f>
        <v>2</v>
      </c>
      <c r="AO41" s="492" t="n">
        <f aca="true">OFFSET(AO41,0,-1)+1</f>
        <v>3</v>
      </c>
      <c r="AP41" s="492"/>
      <c r="AQ41" s="492" t="n">
        <f aca="true">OFFSET(AQ41,0,-2)+1</f>
        <v>4</v>
      </c>
      <c r="AR41" s="491" t="n">
        <f aca="true">OFFSET(AR41,0,-1)</f>
        <v>4</v>
      </c>
      <c r="AS41" s="492" t="n">
        <f aca="true">OFFSET(AS41,0,-1)+1</f>
        <v>5</v>
      </c>
      <c r="AT41" s="49"/>
      <c r="AU41" s="49"/>
      <c r="AV41" s="49"/>
      <c r="AW41" s="49"/>
      <c r="AX41" s="49"/>
      <c r="AY41" s="124" t="n">
        <v>0</v>
      </c>
    </row>
    <row r="42" customFormat="false" ht="24" hidden="false" customHeight="true" outlineLevel="0" collapsed="false">
      <c r="A42" s="417" t="s">
        <v>248</v>
      </c>
      <c r="B42" s="417"/>
      <c r="C42" s="417"/>
      <c r="D42" s="417"/>
      <c r="E42" s="418" t="n">
        <v>1</v>
      </c>
      <c r="F42" s="417"/>
      <c r="G42" s="417"/>
      <c r="H42" s="417"/>
      <c r="I42" s="417"/>
      <c r="J42" s="417"/>
      <c r="K42" s="417"/>
      <c r="L42" s="419"/>
      <c r="M42" s="420"/>
      <c r="N42" s="420"/>
      <c r="O42" s="420"/>
      <c r="Q42" s="136"/>
      <c r="R42" s="421"/>
      <c r="S42" s="422" t="n">
        <f aca="false">INDEX(PT_DIFFERENTIATION_NUM_NTAR,MATCH(A42,PT_DIFFERENTIATION_NTAR_ID,0))</f>
        <v>0</v>
      </c>
      <c r="T42" s="423" t="s">
        <v>122</v>
      </c>
      <c r="U42" s="424"/>
      <c r="V42" s="425"/>
      <c r="W42" s="425"/>
      <c r="X42" s="425"/>
      <c r="Y42" s="425"/>
      <c r="Z42" s="425"/>
      <c r="AA42" s="425"/>
      <c r="AB42" s="425"/>
      <c r="AC42" s="425"/>
      <c r="AD42" s="425"/>
      <c r="AE42" s="425"/>
      <c r="AF42" s="425"/>
      <c r="AG42" s="426" t="str">
        <f aca="false">INDEX(PT_DIFFERENTIATION_NTAR,MATCH(A42,PT_DIFFERENTIATION_NTAR_ID,0))</f>
        <v/>
      </c>
      <c r="AH42" s="426"/>
      <c r="AI42" s="426"/>
      <c r="AJ42" s="426"/>
      <c r="AK42" s="426"/>
      <c r="AL42" s="426"/>
      <c r="AM42" s="426"/>
      <c r="AN42" s="426"/>
      <c r="AO42" s="426"/>
      <c r="AP42" s="426"/>
      <c r="AQ42" s="426"/>
      <c r="AR42" s="426"/>
      <c r="AS4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2"/>
      <c r="AV42" s="122" t="str">
        <f aca="false">IF(T42="","",T42)</f>
        <v>Наименование тарифа</v>
      </c>
      <c r="AW42" s="122"/>
      <c r="AX42" s="122"/>
      <c r="AY42" s="42" t="n">
        <v>23</v>
      </c>
    </row>
    <row r="43" customFormat="false" ht="24" hidden="false" customHeight="true" outlineLevel="0" collapsed="false">
      <c r="A43" s="417" t="s">
        <v>248</v>
      </c>
      <c r="B43" s="417" t="s">
        <v>249</v>
      </c>
      <c r="C43" s="417"/>
      <c r="D43" s="417"/>
      <c r="E43" s="418"/>
      <c r="F43" s="418" t="n">
        <v>1</v>
      </c>
      <c r="G43" s="417"/>
      <c r="H43" s="417"/>
      <c r="I43" s="417"/>
      <c r="J43" s="417"/>
      <c r="K43" s="417"/>
      <c r="L43" s="419"/>
      <c r="M43" s="420"/>
      <c r="N43" s="420"/>
      <c r="O43" s="420"/>
      <c r="P43" s="43"/>
      <c r="Q43" s="428"/>
      <c r="R43" s="429"/>
      <c r="S43" s="422" t="str">
        <f aca="false">INDEX(PT_DIFFERENTIATION_NUM_TER,MATCH(B43,PT_DIFFERENTIATION_TER_ID,0))</f>
        <v>.</v>
      </c>
      <c r="T43" s="430" t="s">
        <v>394</v>
      </c>
      <c r="U43" s="424"/>
      <c r="V43" s="425"/>
      <c r="W43" s="425"/>
      <c r="X43" s="425"/>
      <c r="Y43" s="425"/>
      <c r="Z43" s="425"/>
      <c r="AA43" s="425"/>
      <c r="AB43" s="425"/>
      <c r="AC43" s="425"/>
      <c r="AD43" s="425"/>
      <c r="AE43" s="425"/>
      <c r="AF43" s="425"/>
      <c r="AG43" s="426" t="str">
        <f aca="false">INDEX(PT_DIFFERENTIATION_TER,MATCH(B43,PT_DIFFERENTIATION_TER_ID,0))</f>
        <v/>
      </c>
      <c r="AH43" s="426"/>
      <c r="AI43" s="426"/>
      <c r="AJ43" s="426"/>
      <c r="AK43" s="426"/>
      <c r="AL43" s="426"/>
      <c r="AM43" s="426"/>
      <c r="AN43" s="426"/>
      <c r="AO43" s="426"/>
      <c r="AP43" s="426"/>
      <c r="AQ43" s="426"/>
      <c r="AR43" s="426"/>
      <c r="AS43" s="427" t="s">
        <v>395</v>
      </c>
      <c r="AU43" s="122"/>
      <c r="AV43" s="122" t="str">
        <f aca="false">IF(T43="","",T43)</f>
        <v>Территория действия тарифа</v>
      </c>
      <c r="AW43" s="122"/>
      <c r="AX43" s="122"/>
      <c r="AY43" s="42" t="n">
        <v>23</v>
      </c>
    </row>
    <row r="44" customFormat="false" ht="24" hidden="false" customHeight="true" outlineLevel="0" collapsed="false">
      <c r="A44" s="417" t="s">
        <v>248</v>
      </c>
      <c r="B44" s="417" t="s">
        <v>249</v>
      </c>
      <c r="C44" s="417" t="s">
        <v>250</v>
      </c>
      <c r="D44" s="417"/>
      <c r="E44" s="418"/>
      <c r="F44" s="418"/>
      <c r="G44" s="418" t="n">
        <v>1</v>
      </c>
      <c r="H44" s="417"/>
      <c r="I44" s="417"/>
      <c r="J44" s="417"/>
      <c r="K44" s="417"/>
      <c r="L44" s="419"/>
      <c r="M44" s="420"/>
      <c r="N44" s="420"/>
      <c r="O44" s="420"/>
      <c r="P44" s="431"/>
      <c r="Q44" s="428"/>
      <c r="R44" s="429"/>
      <c r="S44" s="422" t="str">
        <f aca="false">INDEX(PT_DIFFERENTIATION_NUM_CS,MATCH(C44,PT_DIFFERENTIATION_CS_ID,0))</f>
        <v>..</v>
      </c>
      <c r="T44" s="432" t="s">
        <v>527</v>
      </c>
      <c r="U44" s="424"/>
      <c r="V44" s="425"/>
      <c r="W44" s="425"/>
      <c r="X44" s="425"/>
      <c r="Y44" s="425"/>
      <c r="Z44" s="425"/>
      <c r="AA44" s="425"/>
      <c r="AB44" s="425"/>
      <c r="AC44" s="425"/>
      <c r="AD44" s="425"/>
      <c r="AE44" s="425"/>
      <c r="AF44" s="425"/>
      <c r="AG44" s="426" t="str">
        <f aca="false">INDEX(PT_DIFFERENTIATION_CS,MATCH(C44,PT_DIFFERENTIATION_CS_ID,0))</f>
        <v/>
      </c>
      <c r="AH44" s="426"/>
      <c r="AI44" s="426"/>
      <c r="AJ44" s="426"/>
      <c r="AK44" s="426"/>
      <c r="AL44" s="426"/>
      <c r="AM44" s="426"/>
      <c r="AN44" s="426"/>
      <c r="AO44" s="426"/>
      <c r="AP44" s="426"/>
      <c r="AQ44" s="426"/>
      <c r="AR44" s="426"/>
      <c r="AS44" s="427" t="s">
        <v>528</v>
      </c>
      <c r="AU44" s="122"/>
      <c r="AV44" s="122" t="str">
        <f aca="false">IF(T44="","",T44)</f>
        <v>Наименование централизованной системы горячего водоснабжения</v>
      </c>
      <c r="AW44" s="122"/>
      <c r="AX44" s="122"/>
      <c r="AY44" s="42" t="n">
        <v>23</v>
      </c>
    </row>
    <row r="45" customFormat="false" ht="24" hidden="false" customHeight="true" outlineLevel="0" collapsed="false">
      <c r="A45" s="417" t="s">
        <v>248</v>
      </c>
      <c r="B45" s="417" t="s">
        <v>249</v>
      </c>
      <c r="C45" s="417" t="s">
        <v>250</v>
      </c>
      <c r="D45" s="417" t="s">
        <v>539</v>
      </c>
      <c r="E45" s="418"/>
      <c r="F45" s="418"/>
      <c r="G45" s="418"/>
      <c r="H45" s="580"/>
      <c r="I45" s="434" t="str">
        <f aca="false">S44&amp;".1"</f>
        <v>...1</v>
      </c>
      <c r="J45" s="417"/>
      <c r="K45" s="417"/>
      <c r="L45" s="419"/>
      <c r="P45" s="125" t="n">
        <v>1</v>
      </c>
      <c r="Q45" s="125"/>
      <c r="R45" s="435"/>
      <c r="S45" s="422" t="str">
        <f aca="false">$I45</f>
        <v>...1</v>
      </c>
      <c r="T45" s="436" t="s">
        <v>480</v>
      </c>
      <c r="U45" s="424"/>
      <c r="V45" s="581"/>
      <c r="W45" s="581"/>
      <c r="X45" s="581"/>
      <c r="Y45" s="581"/>
      <c r="Z45" s="581"/>
      <c r="AA45" s="581"/>
      <c r="AB45" s="581"/>
      <c r="AC45" s="581"/>
      <c r="AD45" s="581"/>
      <c r="AE45" s="581"/>
      <c r="AF45" s="581"/>
      <c r="AG45" s="333"/>
      <c r="AH45" s="333"/>
      <c r="AI45" s="333"/>
      <c r="AJ45" s="333"/>
      <c r="AK45" s="333"/>
      <c r="AL45" s="333"/>
      <c r="AM45" s="333"/>
      <c r="AN45" s="333"/>
      <c r="AO45" s="333"/>
      <c r="AP45" s="333"/>
      <c r="AQ45" s="333"/>
      <c r="AR45" s="333"/>
      <c r="AS45" s="427" t="s">
        <v>481</v>
      </c>
      <c r="AU45" s="122"/>
      <c r="AV45" s="122" t="str">
        <f aca="false">IF(T45="","",T45)</f>
        <v>Наименование признака дифференциации</v>
      </c>
      <c r="AW45" s="122"/>
      <c r="AX45" s="122"/>
      <c r="AY45" s="42" t="n">
        <v>23</v>
      </c>
    </row>
    <row r="46" customFormat="false" ht="24" hidden="false" customHeight="true" outlineLevel="0" collapsed="false">
      <c r="A46" s="417" t="s">
        <v>248</v>
      </c>
      <c r="B46" s="417" t="s">
        <v>249</v>
      </c>
      <c r="C46" s="417" t="s">
        <v>250</v>
      </c>
      <c r="D46" s="417" t="s">
        <v>539</v>
      </c>
      <c r="E46" s="418"/>
      <c r="F46" s="418"/>
      <c r="G46" s="418"/>
      <c r="H46" s="418"/>
      <c r="I46" s="434"/>
      <c r="J46" s="434" t="str">
        <f aca="false">I45&amp;".1"</f>
        <v>...1.1</v>
      </c>
      <c r="K46" s="417"/>
      <c r="L46" s="419" t="s">
        <v>403</v>
      </c>
      <c r="P46" s="125"/>
      <c r="Q46" s="125" t="n">
        <v>1</v>
      </c>
      <c r="R46" s="438"/>
      <c r="S46" s="422" t="str">
        <f aca="false">$J46</f>
        <v>...1.1</v>
      </c>
      <c r="T46" s="439" t="s">
        <v>404</v>
      </c>
      <c r="U46" s="424"/>
      <c r="V46" s="437"/>
      <c r="W46" s="437"/>
      <c r="X46" s="437"/>
      <c r="Y46" s="437"/>
      <c r="Z46" s="437"/>
      <c r="AA46" s="437"/>
      <c r="AB46" s="437"/>
      <c r="AC46" s="437"/>
      <c r="AD46" s="437"/>
      <c r="AE46" s="437"/>
      <c r="AF46" s="437"/>
      <c r="AG46" s="437"/>
      <c r="AH46" s="437"/>
      <c r="AI46" s="437"/>
      <c r="AJ46" s="437"/>
      <c r="AK46" s="437"/>
      <c r="AL46" s="437"/>
      <c r="AM46" s="437"/>
      <c r="AN46" s="437"/>
      <c r="AO46" s="437"/>
      <c r="AP46" s="437"/>
      <c r="AQ46" s="437"/>
      <c r="AR46" s="437"/>
      <c r="AS46" s="532" t="s">
        <v>482</v>
      </c>
      <c r="AU46" s="122"/>
      <c r="AV46" s="122" t="str">
        <f aca="false">IF(T46="","",T46)</f>
        <v>Группа потребителей</v>
      </c>
      <c r="AW46" s="122"/>
      <c r="AX46" s="122"/>
      <c r="AY46" s="42" t="n">
        <v>23</v>
      </c>
    </row>
    <row r="47" customFormat="false" ht="24" hidden="false" customHeight="true" outlineLevel="0" collapsed="false">
      <c r="A47" s="417" t="s">
        <v>248</v>
      </c>
      <c r="B47" s="417" t="s">
        <v>249</v>
      </c>
      <c r="C47" s="417" t="s">
        <v>250</v>
      </c>
      <c r="D47" s="417" t="s">
        <v>539</v>
      </c>
      <c r="E47" s="418"/>
      <c r="F47" s="418"/>
      <c r="G47" s="418"/>
      <c r="H47" s="418"/>
      <c r="I47" s="434"/>
      <c r="J47" s="434"/>
      <c r="K47" s="434" t="str">
        <f aca="false">J46&amp;".1"</f>
        <v>...1.1.1</v>
      </c>
      <c r="L47" s="419"/>
      <c r="P47" s="125"/>
      <c r="Q47" s="125"/>
      <c r="R47" s="438" t="n">
        <v>1</v>
      </c>
      <c r="S47" s="422" t="str">
        <f aca="false">$K47</f>
        <v>...1.1.1</v>
      </c>
      <c r="T47" s="582"/>
      <c r="U47" s="424"/>
      <c r="V47" s="441"/>
      <c r="W47" s="441"/>
      <c r="X47" s="441"/>
      <c r="Y47" s="441"/>
      <c r="Z47" s="441"/>
      <c r="AA47" s="441"/>
      <c r="AB47" s="441"/>
      <c r="AC47" s="466"/>
      <c r="AD47" s="467" t="s">
        <v>64</v>
      </c>
      <c r="AE47" s="466"/>
      <c r="AF47" s="467" t="s">
        <v>64</v>
      </c>
      <c r="AG47" s="441"/>
      <c r="AH47" s="441"/>
      <c r="AI47" s="441"/>
      <c r="AJ47" s="441"/>
      <c r="AK47" s="441"/>
      <c r="AL47" s="441"/>
      <c r="AM47" s="441"/>
      <c r="AN47" s="444"/>
      <c r="AO47" s="206" t="s">
        <v>64</v>
      </c>
      <c r="AP47" s="444"/>
      <c r="AQ47" s="206" t="s">
        <v>19</v>
      </c>
      <c r="AR47" s="583"/>
      <c r="AS4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9" t="e">
        <f aca="false">strcheckdate(V48:AR48)</f>
        <v>#NAME?</v>
      </c>
      <c r="AU47" s="122"/>
      <c r="AV47" s="122" t="str">
        <f aca="false">IF(T47="","",T47)</f>
        <v/>
      </c>
      <c r="AW47" s="122"/>
      <c r="AX47" s="122"/>
      <c r="AY47" s="42" t="n">
        <v>23</v>
      </c>
    </row>
    <row r="48" customFormat="false" ht="14.35" hidden="false" customHeight="false" outlineLevel="0" collapsed="false">
      <c r="A48" s="417" t="s">
        <v>248</v>
      </c>
      <c r="B48" s="417" t="s">
        <v>249</v>
      </c>
      <c r="C48" s="417" t="s">
        <v>250</v>
      </c>
      <c r="D48" s="417" t="s">
        <v>539</v>
      </c>
      <c r="E48" s="418"/>
      <c r="F48" s="418"/>
      <c r="G48" s="418"/>
      <c r="H48" s="418"/>
      <c r="I48" s="434"/>
      <c r="J48" s="434"/>
      <c r="K48" s="434"/>
      <c r="L48" s="419"/>
      <c r="P48" s="125"/>
      <c r="Q48" s="125"/>
      <c r="R48" s="438"/>
      <c r="S48" s="397"/>
      <c r="T48" s="424"/>
      <c r="U48" s="424"/>
      <c r="V48" s="464"/>
      <c r="W48" s="464"/>
      <c r="X48" s="464"/>
      <c r="Y48" s="464"/>
      <c r="Z48" s="464"/>
      <c r="AA48" s="464"/>
      <c r="AB48" s="464"/>
      <c r="AC48" s="466"/>
      <c r="AD48" s="466"/>
      <c r="AE48" s="466"/>
      <c r="AF48" s="466"/>
      <c r="AG48" s="442"/>
      <c r="AH48" s="442"/>
      <c r="AI48" s="442"/>
      <c r="AJ48" s="442"/>
      <c r="AK48" s="442"/>
      <c r="AL48" s="442"/>
      <c r="AM48" s="442"/>
      <c r="AN48" s="444"/>
      <c r="AO48" s="206"/>
      <c r="AP48" s="444"/>
      <c r="AQ48" s="206"/>
      <c r="AR48" s="585"/>
      <c r="AS48" s="445"/>
      <c r="AU48" s="122"/>
      <c r="AV48" s="122" t="str">
        <f aca="false">IF(T48="","",T48)</f>
        <v/>
      </c>
      <c r="AW48" s="122"/>
      <c r="AX48" s="122"/>
      <c r="AY48" s="42" t="n">
        <v>0</v>
      </c>
    </row>
    <row r="49" customFormat="false" ht="21" hidden="false" customHeight="true" outlineLevel="0" collapsed="false">
      <c r="A49" s="417" t="s">
        <v>248</v>
      </c>
      <c r="B49" s="417" t="s">
        <v>249</v>
      </c>
      <c r="C49" s="417" t="s">
        <v>250</v>
      </c>
      <c r="D49" s="417" t="s">
        <v>539</v>
      </c>
      <c r="E49" s="418"/>
      <c r="F49" s="418"/>
      <c r="G49" s="418"/>
      <c r="H49" s="418"/>
      <c r="I49" s="434"/>
      <c r="J49" s="434"/>
      <c r="K49" s="417"/>
      <c r="L49" s="419"/>
      <c r="P49" s="125"/>
      <c r="Q49" s="125"/>
      <c r="R49" s="435"/>
      <c r="S49" s="447"/>
      <c r="T49" s="450" t="s">
        <v>483</v>
      </c>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427" t="s">
        <v>484</v>
      </c>
      <c r="AU49" s="122"/>
      <c r="AV49" s="122" t="str">
        <f aca="false">IF(T49="","",T49)</f>
        <v>Добавить значение признака дифференциации</v>
      </c>
      <c r="AW49" s="122"/>
      <c r="AX49" s="122"/>
      <c r="AY49" s="42" t="n">
        <v>20</v>
      </c>
    </row>
    <row r="50" customFormat="false" ht="21.75" hidden="false" customHeight="true" outlineLevel="0" collapsed="false">
      <c r="A50" s="417" t="s">
        <v>248</v>
      </c>
      <c r="B50" s="417" t="s">
        <v>249</v>
      </c>
      <c r="C50" s="417" t="s">
        <v>250</v>
      </c>
      <c r="D50" s="417" t="s">
        <v>539</v>
      </c>
      <c r="E50" s="418"/>
      <c r="F50" s="418"/>
      <c r="G50" s="418"/>
      <c r="H50" s="418"/>
      <c r="I50" s="434"/>
      <c r="J50" s="417"/>
      <c r="K50" s="417"/>
      <c r="L50" s="419"/>
      <c r="P50" s="125"/>
      <c r="Q50" s="125"/>
      <c r="R50" s="435"/>
      <c r="S50" s="447"/>
      <c r="T50" s="454" t="s">
        <v>409</v>
      </c>
      <c r="U50" s="196"/>
      <c r="V50" s="196"/>
      <c r="W50" s="196"/>
      <c r="X50" s="196"/>
      <c r="Y50" s="196"/>
      <c r="Z50" s="196"/>
      <c r="AA50" s="196"/>
      <c r="AB50" s="196"/>
      <c r="AC50" s="196"/>
      <c r="AD50" s="196"/>
      <c r="AE50" s="196"/>
      <c r="AF50" s="451"/>
      <c r="AG50" s="196"/>
      <c r="AH50" s="196"/>
      <c r="AI50" s="196"/>
      <c r="AJ50" s="196"/>
      <c r="AK50" s="196"/>
      <c r="AL50" s="196"/>
      <c r="AM50" s="196"/>
      <c r="AN50" s="196"/>
      <c r="AO50" s="196"/>
      <c r="AP50" s="196"/>
      <c r="AQ50" s="451"/>
      <c r="AR50" s="196"/>
      <c r="AS50" s="586"/>
      <c r="AU50" s="122"/>
      <c r="AV50" s="122" t="str">
        <f aca="false">IF(T50="","",T50)</f>
        <v>Добавить группу потребителей</v>
      </c>
      <c r="AW50" s="122"/>
      <c r="AX50" s="122"/>
      <c r="AY50" s="42" t="n">
        <v>21</v>
      </c>
    </row>
    <row r="51" customFormat="false" ht="21.75" hidden="false" customHeight="true" outlineLevel="0" collapsed="false">
      <c r="A51" s="417" t="s">
        <v>248</v>
      </c>
      <c r="B51" s="417" t="s">
        <v>249</v>
      </c>
      <c r="C51" s="417" t="s">
        <v>250</v>
      </c>
      <c r="D51" s="417" t="s">
        <v>539</v>
      </c>
      <c r="E51" s="418"/>
      <c r="F51" s="418"/>
      <c r="G51" s="418"/>
      <c r="H51" s="580"/>
      <c r="I51" s="417"/>
      <c r="J51" s="417"/>
      <c r="K51" s="417"/>
      <c r="L51" s="419"/>
      <c r="M51" s="420"/>
      <c r="N51" s="420"/>
      <c r="O51" s="45"/>
      <c r="P51" s="136"/>
      <c r="Q51" s="453"/>
      <c r="R51" s="421"/>
      <c r="S51" s="447"/>
      <c r="T51" s="587" t="s">
        <v>485</v>
      </c>
      <c r="U51" s="196"/>
      <c r="V51" s="196"/>
      <c r="W51" s="196"/>
      <c r="X51" s="196"/>
      <c r="Y51" s="196"/>
      <c r="Z51" s="196"/>
      <c r="AA51" s="196"/>
      <c r="AB51" s="196"/>
      <c r="AC51" s="196"/>
      <c r="AD51" s="196"/>
      <c r="AE51" s="196"/>
      <c r="AF51" s="451"/>
      <c r="AG51" s="196"/>
      <c r="AH51" s="196"/>
      <c r="AI51" s="196"/>
      <c r="AJ51" s="196"/>
      <c r="AK51" s="196"/>
      <c r="AL51" s="196"/>
      <c r="AM51" s="196"/>
      <c r="AN51" s="196"/>
      <c r="AO51" s="196"/>
      <c r="AP51" s="196"/>
      <c r="AQ51" s="451"/>
      <c r="AR51" s="196"/>
      <c r="AS51" s="452"/>
      <c r="AU51" s="122"/>
      <c r="AV51" s="122" t="str">
        <f aca="false">IF(T51="","",T51)</f>
        <v>Добавить наименование признака дифференциации</v>
      </c>
      <c r="AW51" s="122"/>
      <c r="AX51" s="122"/>
      <c r="AY51" s="42" t="n">
        <v>21</v>
      </c>
    </row>
    <row r="52" s="49" customFormat="true" ht="14.35" hidden="false" customHeight="false" outlineLevel="0" collapsed="false">
      <c r="A52" s="126" t="s">
        <v>248</v>
      </c>
      <c r="B52" s="126" t="s">
        <v>249</v>
      </c>
      <c r="C52" s="126"/>
      <c r="D52" s="126"/>
      <c r="E52" s="418"/>
      <c r="F52" s="418"/>
      <c r="G52" s="126"/>
      <c r="H52" s="126"/>
      <c r="I52" s="126"/>
      <c r="J52" s="126"/>
      <c r="K52" s="126"/>
      <c r="L52" s="194"/>
      <c r="M52" s="459"/>
      <c r="N52" s="459"/>
      <c r="P52" s="160"/>
      <c r="Q52" s="455"/>
      <c r="R52" s="160"/>
      <c r="S52" s="460"/>
      <c r="T52" s="463" t="s">
        <v>412</v>
      </c>
      <c r="U52" s="462"/>
      <c r="V52" s="462"/>
      <c r="W52" s="462"/>
      <c r="X52" s="462"/>
      <c r="Y52" s="462"/>
      <c r="Z52" s="462"/>
      <c r="AA52" s="462"/>
      <c r="AB52" s="462"/>
      <c r="AC52" s="462"/>
      <c r="AD52" s="462"/>
      <c r="AE52" s="462"/>
      <c r="AF52" s="462"/>
      <c r="AG52" s="462"/>
      <c r="AH52" s="462"/>
      <c r="AI52" s="462"/>
      <c r="AJ52" s="462"/>
      <c r="AK52" s="462"/>
      <c r="AL52" s="462"/>
      <c r="AM52" s="462"/>
      <c r="AN52" s="462"/>
      <c r="AO52" s="462"/>
      <c r="AP52" s="462"/>
      <c r="AQ52" s="462"/>
      <c r="AR52" s="462"/>
      <c r="AS52" s="462"/>
      <c r="AU52" s="122"/>
      <c r="AV52" s="122" t="str">
        <f aca="false">IF(T52="","",T52)</f>
        <v>Добавить централизованную систему для дифференциации</v>
      </c>
      <c r="AW52" s="122"/>
      <c r="AX52" s="122"/>
      <c r="AY52" s="49" t="n">
        <v>0</v>
      </c>
    </row>
    <row r="53" s="49" customFormat="true" ht="14.35" hidden="false" customHeight="false" outlineLevel="0" collapsed="false">
      <c r="A53" s="126" t="s">
        <v>248</v>
      </c>
      <c r="B53" s="126"/>
      <c r="C53" s="126"/>
      <c r="D53" s="126"/>
      <c r="E53" s="418"/>
      <c r="F53" s="126"/>
      <c r="G53" s="126"/>
      <c r="H53" s="126"/>
      <c r="I53" s="126"/>
      <c r="J53" s="126"/>
      <c r="K53" s="126"/>
      <c r="L53" s="194"/>
      <c r="M53" s="459"/>
      <c r="N53" s="459"/>
      <c r="P53" s="160"/>
      <c r="Q53" s="455"/>
      <c r="R53" s="160"/>
      <c r="S53" s="460"/>
      <c r="T53" s="463" t="s">
        <v>413</v>
      </c>
      <c r="U53" s="462"/>
      <c r="V53" s="462"/>
      <c r="W53" s="462"/>
      <c r="X53" s="462"/>
      <c r="Y53" s="462"/>
      <c r="Z53" s="462"/>
      <c r="AA53" s="462"/>
      <c r="AB53" s="462"/>
      <c r="AC53" s="462"/>
      <c r="AD53" s="462"/>
      <c r="AE53" s="462"/>
      <c r="AF53" s="462"/>
      <c r="AG53" s="462"/>
      <c r="AH53" s="462"/>
      <c r="AI53" s="462"/>
      <c r="AJ53" s="462"/>
      <c r="AK53" s="462"/>
      <c r="AL53" s="462"/>
      <c r="AM53" s="462"/>
      <c r="AN53" s="462"/>
      <c r="AO53" s="462"/>
      <c r="AP53" s="462"/>
      <c r="AQ53" s="462"/>
      <c r="AR53" s="462"/>
      <c r="AS53" s="462"/>
      <c r="AU53" s="122"/>
      <c r="AV53" s="122" t="str">
        <f aca="false">IF(T53="","",T53)</f>
        <v>Добавить территорию для дифференциации</v>
      </c>
      <c r="AW53" s="122"/>
      <c r="AX53" s="122"/>
      <c r="AY53" s="49" t="n">
        <v>0</v>
      </c>
    </row>
    <row r="54" s="49" customFormat="true" ht="14.35" hidden="false" customHeight="false" outlineLevel="0" collapsed="false">
      <c r="A54" s="126"/>
      <c r="B54" s="126"/>
      <c r="C54" s="126"/>
      <c r="D54" s="126"/>
      <c r="E54" s="126"/>
      <c r="F54" s="126"/>
      <c r="G54" s="126"/>
      <c r="H54" s="126"/>
      <c r="I54" s="126"/>
      <c r="J54" s="126"/>
      <c r="K54" s="126"/>
      <c r="L54" s="194"/>
      <c r="M54" s="459"/>
      <c r="N54" s="459"/>
      <c r="P54" s="160"/>
      <c r="Q54" s="455"/>
      <c r="R54" s="160"/>
      <c r="S54" s="460"/>
      <c r="T54" s="463" t="s">
        <v>445</v>
      </c>
      <c r="U54" s="462"/>
      <c r="V54" s="462"/>
      <c r="W54" s="462"/>
      <c r="X54" s="462"/>
      <c r="Y54" s="462"/>
      <c r="Z54" s="462"/>
      <c r="AA54" s="462"/>
      <c r="AB54" s="462"/>
      <c r="AC54" s="462"/>
      <c r="AD54" s="462"/>
      <c r="AE54" s="462"/>
      <c r="AF54" s="462"/>
      <c r="AG54" s="462"/>
      <c r="AH54" s="462"/>
      <c r="AI54" s="462"/>
      <c r="AJ54" s="462"/>
      <c r="AK54" s="462"/>
      <c r="AL54" s="462"/>
      <c r="AM54" s="462"/>
      <c r="AN54" s="462"/>
      <c r="AO54" s="462"/>
      <c r="AP54" s="462"/>
      <c r="AQ54" s="462"/>
      <c r="AR54" s="462"/>
      <c r="AS54" s="462"/>
      <c r="AU54" s="122"/>
      <c r="AV54" s="122" t="str">
        <f aca="false">IF(T54="","",T54)</f>
        <v>Добавить наименование тарифа</v>
      </c>
      <c r="AW54" s="122"/>
      <c r="AX54" s="122"/>
      <c r="AY54" s="49" t="n">
        <v>0</v>
      </c>
    </row>
    <row r="55" customFormat="false" ht="11.25" hidden="false" customHeight="true" outlineLevel="0" collapsed="false">
      <c r="M55" s="45"/>
      <c r="N55" s="45"/>
      <c r="O55" s="45"/>
      <c r="P55" s="42"/>
      <c r="Q55" s="42"/>
      <c r="R55" s="42"/>
      <c r="S55" s="42"/>
      <c r="AT55" s="42"/>
      <c r="AU55" s="42"/>
      <c r="AV55" s="42"/>
      <c r="AW55" s="42"/>
      <c r="AX55" s="42"/>
      <c r="AY55" s="42" t="n">
        <v>11</v>
      </c>
    </row>
    <row r="56" customFormat="false" ht="14.25" hidden="false" customHeight="true" outlineLevel="0" collapsed="false">
      <c r="O56" s="45"/>
      <c r="S56" s="414"/>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Y56" s="42" t="n">
        <v>14</v>
      </c>
    </row>
    <row r="57" customFormat="false" ht="14.25" hidden="false" customHeight="true" outlineLevel="0" collapsed="false">
      <c r="O57" s="45"/>
      <c r="AY57" s="42" t="n">
        <v>14</v>
      </c>
    </row>
    <row r="58" customFormat="false" ht="14.25" hidden="false" customHeight="true" outlineLevel="0" collapsed="false">
      <c r="O58" s="45"/>
      <c r="S58" s="414"/>
      <c r="T58" s="495"/>
      <c r="U58" s="495"/>
      <c r="V58" s="495"/>
      <c r="W58" s="495"/>
      <c r="X58" s="495"/>
      <c r="Y58" s="495"/>
      <c r="Z58" s="495"/>
      <c r="AA58" s="495"/>
      <c r="AB58" s="495"/>
      <c r="AC58" s="495"/>
      <c r="AD58" s="495"/>
      <c r="AE58" s="495"/>
      <c r="AF58" s="495"/>
      <c r="AG58" s="495"/>
      <c r="AH58" s="495"/>
      <c r="AI58" s="495"/>
      <c r="AJ58" s="495"/>
      <c r="AK58" s="495"/>
      <c r="AL58" s="495"/>
      <c r="AM58" s="495"/>
      <c r="AN58" s="495"/>
      <c r="AO58" s="495"/>
      <c r="AP58" s="495"/>
      <c r="AQ58" s="495"/>
      <c r="AR58" s="495"/>
      <c r="AS58" s="495"/>
      <c r="AY58" s="42" t="n">
        <v>14</v>
      </c>
    </row>
    <row r="59" customFormat="false" ht="22.5" hidden="true" customHeight="true" outlineLevel="0" collapsed="false">
      <c r="A59" s="45" t="s">
        <v>80</v>
      </c>
      <c r="B59" s="45" t="n">
        <v>0</v>
      </c>
      <c r="C59" s="45" t="n">
        <v>0</v>
      </c>
      <c r="D59" s="45" t="n">
        <v>0</v>
      </c>
      <c r="E59" s="45" t="n">
        <v>0</v>
      </c>
      <c r="F59" s="45" t="n">
        <v>0</v>
      </c>
      <c r="G59" s="45" t="n">
        <v>0</v>
      </c>
      <c r="H59" s="45" t="n">
        <v>0</v>
      </c>
      <c r="I59" s="45" t="n">
        <v>0</v>
      </c>
      <c r="J59" s="45" t="n">
        <v>0</v>
      </c>
      <c r="K59" s="45" t="n">
        <v>0</v>
      </c>
      <c r="L59" s="107" t="n">
        <v>0</v>
      </c>
      <c r="M59" s="53" t="n">
        <v>0</v>
      </c>
      <c r="N59" s="53" t="n">
        <v>0</v>
      </c>
      <c r="O59" s="53" t="n">
        <v>0</v>
      </c>
      <c r="P59" s="52" t="n">
        <v>3</v>
      </c>
      <c r="Q59" s="416" t="n">
        <v>3</v>
      </c>
      <c r="R59" s="416" t="n">
        <v>3</v>
      </c>
      <c r="S59" s="77" t="n">
        <v>12</v>
      </c>
      <c r="T59" s="42" t="n">
        <v>35</v>
      </c>
      <c r="U59" s="42" t="n">
        <v>0</v>
      </c>
      <c r="V59" s="42" t="n">
        <v>0</v>
      </c>
      <c r="W59" s="42" t="n">
        <v>0</v>
      </c>
      <c r="X59" s="42" t="n">
        <v>0</v>
      </c>
      <c r="Y59" s="42" t="n">
        <v>0</v>
      </c>
      <c r="Z59" s="42" t="n">
        <v>0</v>
      </c>
      <c r="AA59" s="42" t="n">
        <v>0</v>
      </c>
      <c r="AB59" s="42" t="n">
        <v>0</v>
      </c>
      <c r="AC59" s="42" t="n">
        <v>0</v>
      </c>
      <c r="AD59" s="42" t="n">
        <v>0</v>
      </c>
      <c r="AE59" s="42" t="n">
        <v>0</v>
      </c>
      <c r="AF59" s="42" t="n">
        <v>0</v>
      </c>
      <c r="AG59" s="42" t="n">
        <v>19</v>
      </c>
      <c r="AH59" s="42" t="n">
        <v>19</v>
      </c>
      <c r="AI59" s="42" t="n">
        <v>19</v>
      </c>
      <c r="AJ59" s="42" t="n">
        <v>19</v>
      </c>
      <c r="AK59" s="42" t="n">
        <v>19</v>
      </c>
      <c r="AL59" s="42" t="n">
        <v>19</v>
      </c>
      <c r="AM59" s="42" t="n">
        <v>19</v>
      </c>
      <c r="AN59" s="42" t="n">
        <v>11</v>
      </c>
      <c r="AO59" s="42" t="n">
        <v>3</v>
      </c>
      <c r="AP59" s="42" t="n">
        <v>11</v>
      </c>
      <c r="AQ59" s="42" t="n">
        <v>0</v>
      </c>
      <c r="AR59" s="42" t="n">
        <v>4</v>
      </c>
      <c r="AS59" s="42" t="n">
        <v>115</v>
      </c>
      <c r="AT59" s="49" t="n">
        <v>10</v>
      </c>
      <c r="AU59" s="49" t="n">
        <v>10</v>
      </c>
      <c r="AV59" s="49" t="n">
        <v>10</v>
      </c>
      <c r="AW59" s="49" t="n">
        <v>10</v>
      </c>
      <c r="AX59" s="49" t="n">
        <v>10</v>
      </c>
      <c r="AY59" s="42"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false" outlineLevel="0" max="16" min="16" style="52" width="3"/>
    <col collapsed="false" customWidth="true" hidden="false" outlineLevel="0" max="18" min="17" style="416" width="3"/>
    <col collapsed="false" customWidth="true" hidden="false" outlineLevel="0" max="19" min="19" style="77" width="12"/>
    <col collapsed="false" customWidth="true" hidden="false" outlineLevel="0" max="20" min="20" style="42" width="35"/>
    <col collapsed="false" customWidth="true" hidden="false" outlineLevel="0" max="21" min="21" style="42" width="0.15"/>
    <col collapsed="false" customWidth="true" hidden="true" outlineLevel="0" max="28" min="22" style="42" width="19.7"/>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19.7"/>
    <col collapsed="false" customWidth="true" hidden="false" outlineLevel="0" max="39" min="34" style="42" width="19"/>
    <col collapsed="false" customWidth="true" hidden="false" outlineLevel="0" max="40" min="40" style="42" width="11"/>
    <col collapsed="false" customWidth="true" hidden="false" outlineLevel="0" max="41" min="41" style="42" width="3.71"/>
    <col collapsed="false" customWidth="true" hidden="false" outlineLevel="0" max="42" min="42" style="42" width="11"/>
    <col collapsed="false" customWidth="true" hidden="true" outlineLevel="0" max="43" min="43" style="42" width="8.57"/>
    <col collapsed="false" customWidth="true" hidden="false" outlineLevel="0" max="44" min="44" style="42" width="4"/>
    <col collapsed="false" customWidth="true" hidden="false" outlineLevel="0" max="45" min="45" style="42" width="115"/>
    <col collapsed="false" customWidth="true" hidden="false" outlineLevel="0" max="50" min="46" style="49" width="10"/>
    <col collapsed="false" customWidth="false" hidden="true" outlineLevel="0" max="51" min="51" style="42" width="10.57"/>
  </cols>
  <sheetData>
    <row r="1" customFormat="false" ht="22.5" hidden="true" customHeight="true" outlineLevel="0" collapsed="false">
      <c r="AY1" s="42" t="s">
        <v>14</v>
      </c>
    </row>
    <row r="2" customFormat="false" ht="23.25" hidden="true" customHeight="true" outlineLevel="0" collapsed="false">
      <c r="A2" s="417"/>
      <c r="B2" s="417"/>
      <c r="C2" s="417"/>
      <c r="D2" s="417"/>
      <c r="E2" s="418" t="n">
        <v>1</v>
      </c>
      <c r="F2" s="417"/>
      <c r="G2" s="417"/>
      <c r="H2" s="417"/>
      <c r="I2" s="417"/>
      <c r="J2" s="417"/>
      <c r="K2" s="417"/>
      <c r="L2" s="419"/>
      <c r="M2" s="420"/>
      <c r="N2" s="420"/>
      <c r="O2" s="420"/>
      <c r="Q2" s="136"/>
      <c r="R2" s="421"/>
      <c r="S2" s="422" t="e">
        <f aca="false">INDEX(PT_DIFFERENTIATION_NUM_NTAR,MATCH(A2,PT_DIFFERENTIATION_NTAR_ID,0))</f>
        <v>#N/A</v>
      </c>
      <c r="T2" s="423" t="s">
        <v>122</v>
      </c>
      <c r="U2" s="424"/>
      <c r="V2" s="425"/>
      <c r="W2" s="425"/>
      <c r="X2" s="425"/>
      <c r="Y2" s="425"/>
      <c r="Z2" s="425"/>
      <c r="AA2" s="425"/>
      <c r="AB2" s="425"/>
      <c r="AC2" s="425"/>
      <c r="AD2" s="425"/>
      <c r="AE2" s="425"/>
      <c r="AF2" s="425"/>
      <c r="AG2" s="426" t="e">
        <f aca="false">INDEX(PT_DIFFERENTIATION_NTAR,MATCH(A2,PT_DIFFERENTIATION_NTAR_ID,0))</f>
        <v>#N/A</v>
      </c>
      <c r="AH2" s="426"/>
      <c r="AI2" s="426"/>
      <c r="AJ2" s="426"/>
      <c r="AK2" s="426"/>
      <c r="AL2" s="426"/>
      <c r="AM2" s="426"/>
      <c r="AN2" s="426"/>
      <c r="AO2" s="426"/>
      <c r="AP2" s="426"/>
      <c r="AQ2" s="426"/>
      <c r="AR2" s="426"/>
      <c r="AS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2"/>
      <c r="AV2" s="122" t="str">
        <f aca="false">IF(T2="","",T2)</f>
        <v>Наименование тарифа</v>
      </c>
      <c r="AW2" s="122"/>
      <c r="AX2" s="122"/>
      <c r="AY2" s="42" t="n">
        <v>0</v>
      </c>
    </row>
    <row r="3" customFormat="false" ht="23.25" hidden="true" customHeight="true" outlineLevel="0" collapsed="false">
      <c r="A3" s="417"/>
      <c r="B3" s="417"/>
      <c r="C3" s="417"/>
      <c r="D3" s="417"/>
      <c r="E3" s="418"/>
      <c r="F3" s="418" t="n">
        <v>1</v>
      </c>
      <c r="G3" s="417"/>
      <c r="H3" s="417"/>
      <c r="I3" s="417"/>
      <c r="J3" s="417"/>
      <c r="K3" s="417"/>
      <c r="L3" s="419"/>
      <c r="M3" s="420"/>
      <c r="N3" s="420"/>
      <c r="O3" s="420"/>
      <c r="P3" s="43"/>
      <c r="Q3" s="428"/>
      <c r="R3" s="429"/>
      <c r="S3" s="422" t="e">
        <f aca="false">INDEX(PT_DIFFERENTIATION_NUM_TER,MATCH(B3,PT_DIFFERENTIATION_TER_ID,0))</f>
        <v>#N/A</v>
      </c>
      <c r="T3" s="430" t="s">
        <v>394</v>
      </c>
      <c r="U3" s="424"/>
      <c r="V3" s="425"/>
      <c r="W3" s="425"/>
      <c r="X3" s="425"/>
      <c r="Y3" s="425"/>
      <c r="Z3" s="425"/>
      <c r="AA3" s="425"/>
      <c r="AB3" s="425"/>
      <c r="AC3" s="425"/>
      <c r="AD3" s="425"/>
      <c r="AE3" s="425"/>
      <c r="AF3" s="425"/>
      <c r="AG3" s="426" t="e">
        <f aca="false">INDEX(PT_DIFFERENTIATION_TER,MATCH(B3,PT_DIFFERENTIATION_TER_ID,0))</f>
        <v>#N/A</v>
      </c>
      <c r="AH3" s="426"/>
      <c r="AI3" s="426"/>
      <c r="AJ3" s="426"/>
      <c r="AK3" s="426"/>
      <c r="AL3" s="426"/>
      <c r="AM3" s="426"/>
      <c r="AN3" s="426"/>
      <c r="AO3" s="426"/>
      <c r="AP3" s="426"/>
      <c r="AQ3" s="426"/>
      <c r="AR3" s="426"/>
      <c r="AS3" s="427" t="s">
        <v>395</v>
      </c>
      <c r="AU3" s="122"/>
      <c r="AV3" s="122" t="str">
        <f aca="false">IF(T3="","",T3)</f>
        <v>Территория действия тарифа</v>
      </c>
      <c r="AW3" s="122"/>
      <c r="AX3" s="122"/>
      <c r="AY3" s="42" t="n">
        <v>0</v>
      </c>
    </row>
    <row r="4" customFormat="false" ht="23.25" hidden="true" customHeight="true" outlineLevel="0" collapsed="false">
      <c r="A4" s="417"/>
      <c r="B4" s="417"/>
      <c r="C4" s="417"/>
      <c r="D4" s="417"/>
      <c r="E4" s="418"/>
      <c r="F4" s="418"/>
      <c r="G4" s="418" t="n">
        <v>1</v>
      </c>
      <c r="H4" s="417"/>
      <c r="I4" s="417"/>
      <c r="J4" s="417"/>
      <c r="K4" s="417"/>
      <c r="L4" s="419"/>
      <c r="M4" s="420"/>
      <c r="N4" s="420"/>
      <c r="O4" s="420"/>
      <c r="P4" s="431"/>
      <c r="Q4" s="428"/>
      <c r="R4" s="429"/>
      <c r="S4" s="422" t="e">
        <f aca="false">INDEX(PT_DIFFERENTIATION_NUM_CS,MATCH(C4,PT_DIFFERENTIATION_CS_ID,0))</f>
        <v>#N/A</v>
      </c>
      <c r="T4" s="432" t="s">
        <v>527</v>
      </c>
      <c r="U4" s="424"/>
      <c r="V4" s="425"/>
      <c r="W4" s="425"/>
      <c r="X4" s="425"/>
      <c r="Y4" s="425"/>
      <c r="Z4" s="425"/>
      <c r="AA4" s="425"/>
      <c r="AB4" s="425"/>
      <c r="AC4" s="425"/>
      <c r="AD4" s="425"/>
      <c r="AE4" s="425"/>
      <c r="AF4" s="425"/>
      <c r="AG4" s="426" t="e">
        <f aca="false">INDEX(PT_DIFFERENTIATION_CS,MATCH(C4,PT_DIFFERENTIATION_CS_ID,0))</f>
        <v>#N/A</v>
      </c>
      <c r="AH4" s="426"/>
      <c r="AI4" s="426"/>
      <c r="AJ4" s="426"/>
      <c r="AK4" s="426"/>
      <c r="AL4" s="426"/>
      <c r="AM4" s="426"/>
      <c r="AN4" s="426"/>
      <c r="AO4" s="426"/>
      <c r="AP4" s="426"/>
      <c r="AQ4" s="426"/>
      <c r="AR4" s="426"/>
      <c r="AS4" s="427" t="s">
        <v>528</v>
      </c>
      <c r="AU4" s="122"/>
      <c r="AV4" s="122" t="str">
        <f aca="false">IF(T4="","",T4)</f>
        <v>Наименование централизованной системы горячего водоснабжения</v>
      </c>
      <c r="AW4" s="122"/>
      <c r="AX4" s="122"/>
      <c r="AY4" s="42" t="n">
        <v>0</v>
      </c>
    </row>
    <row r="5" customFormat="false" ht="23.25" hidden="true" customHeight="true" outlineLevel="0" collapsed="false">
      <c r="A5" s="417"/>
      <c r="B5" s="417"/>
      <c r="C5" s="417"/>
      <c r="D5" s="417"/>
      <c r="E5" s="418"/>
      <c r="F5" s="418"/>
      <c r="G5" s="418"/>
      <c r="H5" s="580"/>
      <c r="I5" s="434" t="e">
        <f aca="false">S4&amp;".1"</f>
        <v>#N/A</v>
      </c>
      <c r="J5" s="417"/>
      <c r="K5" s="417"/>
      <c r="L5" s="419"/>
      <c r="P5" s="125" t="n">
        <v>1</v>
      </c>
      <c r="Q5" s="125"/>
      <c r="R5" s="435"/>
      <c r="S5" s="422" t="e">
        <f aca="false">$I5</f>
        <v>#N/A</v>
      </c>
      <c r="T5" s="436" t="s">
        <v>480</v>
      </c>
      <c r="U5" s="424"/>
      <c r="V5" s="581"/>
      <c r="W5" s="581"/>
      <c r="X5" s="581"/>
      <c r="Y5" s="581"/>
      <c r="Z5" s="581"/>
      <c r="AA5" s="581"/>
      <c r="AB5" s="581"/>
      <c r="AC5" s="581"/>
      <c r="AD5" s="581"/>
      <c r="AE5" s="581"/>
      <c r="AF5" s="581"/>
      <c r="AG5" s="333"/>
      <c r="AH5" s="333"/>
      <c r="AI5" s="333"/>
      <c r="AJ5" s="333"/>
      <c r="AK5" s="333"/>
      <c r="AL5" s="333"/>
      <c r="AM5" s="333"/>
      <c r="AN5" s="333"/>
      <c r="AO5" s="333"/>
      <c r="AP5" s="333"/>
      <c r="AQ5" s="333"/>
      <c r="AR5" s="333"/>
      <c r="AS5" s="427" t="s">
        <v>481</v>
      </c>
      <c r="AU5" s="122"/>
      <c r="AV5" s="122" t="str">
        <f aca="false">IF(T5="","",T5)</f>
        <v>Наименование признака дифференциации</v>
      </c>
      <c r="AW5" s="122"/>
      <c r="AX5" s="122"/>
      <c r="AY5" s="42" t="n">
        <v>0</v>
      </c>
    </row>
    <row r="6" customFormat="false" ht="23.25" hidden="true" customHeight="true" outlineLevel="0" collapsed="false">
      <c r="A6" s="417"/>
      <c r="B6" s="417"/>
      <c r="C6" s="417"/>
      <c r="D6" s="417"/>
      <c r="E6" s="418"/>
      <c r="F6" s="418"/>
      <c r="G6" s="418"/>
      <c r="H6" s="418"/>
      <c r="I6" s="434"/>
      <c r="J6" s="434" t="e">
        <f aca="false">I5&amp;".1"</f>
        <v>#N/A</v>
      </c>
      <c r="K6" s="417"/>
      <c r="L6" s="419" t="s">
        <v>403</v>
      </c>
      <c r="P6" s="125"/>
      <c r="Q6" s="125" t="n">
        <v>1</v>
      </c>
      <c r="R6" s="438"/>
      <c r="S6" s="422" t="e">
        <f aca="false">$J6</f>
        <v>#N/A</v>
      </c>
      <c r="T6" s="439" t="s">
        <v>404</v>
      </c>
      <c r="U6" s="424"/>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532" t="s">
        <v>482</v>
      </c>
      <c r="AU6" s="122"/>
      <c r="AV6" s="122" t="str">
        <f aca="false">IF(T6="","",T6)</f>
        <v>Группа потребителей</v>
      </c>
      <c r="AW6" s="122"/>
      <c r="AX6" s="122"/>
      <c r="AY6" s="42" t="n">
        <v>0</v>
      </c>
    </row>
    <row r="7" customFormat="false" ht="23.25" hidden="true" customHeight="true" outlineLevel="0" collapsed="false">
      <c r="A7" s="417"/>
      <c r="B7" s="417"/>
      <c r="C7" s="417"/>
      <c r="D7" s="417"/>
      <c r="E7" s="418"/>
      <c r="F7" s="418"/>
      <c r="G7" s="418"/>
      <c r="H7" s="418"/>
      <c r="I7" s="434"/>
      <c r="J7" s="434"/>
      <c r="K7" s="434" t="e">
        <f aca="false">J6&amp;".1"</f>
        <v>#N/A</v>
      </c>
      <c r="L7" s="419"/>
      <c r="P7" s="125"/>
      <c r="Q7" s="125"/>
      <c r="R7" s="438" t="n">
        <v>1</v>
      </c>
      <c r="S7" s="422" t="e">
        <f aca="false">$K7</f>
        <v>#N/A</v>
      </c>
      <c r="T7" s="582"/>
      <c r="U7" s="424"/>
      <c r="V7" s="441"/>
      <c r="W7" s="441"/>
      <c r="X7" s="441"/>
      <c r="Y7" s="441"/>
      <c r="Z7" s="441"/>
      <c r="AA7" s="441"/>
      <c r="AB7" s="443"/>
      <c r="AC7" s="444"/>
      <c r="AD7" s="206" t="s">
        <v>64</v>
      </c>
      <c r="AE7" s="444"/>
      <c r="AF7" s="206" t="s">
        <v>64</v>
      </c>
      <c r="AG7" s="441"/>
      <c r="AH7" s="441"/>
      <c r="AI7" s="441"/>
      <c r="AJ7" s="441"/>
      <c r="AK7" s="441"/>
      <c r="AL7" s="441"/>
      <c r="AM7" s="443"/>
      <c r="AN7" s="444"/>
      <c r="AO7" s="206" t="s">
        <v>64</v>
      </c>
      <c r="AP7" s="444"/>
      <c r="AQ7" s="206" t="s">
        <v>64</v>
      </c>
      <c r="AR7" s="583"/>
      <c r="AS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9" t="e">
        <f aca="false">strcheckdate(V8:AR8)</f>
        <v>#NAME?</v>
      </c>
      <c r="AU7" s="122"/>
      <c r="AV7" s="122" t="str">
        <f aca="false">IF(T7="","",T7)</f>
        <v/>
      </c>
      <c r="AW7" s="122"/>
      <c r="AX7" s="122"/>
      <c r="AY7" s="42" t="n">
        <v>0</v>
      </c>
    </row>
    <row r="8" customFormat="false" ht="14.25" hidden="true" customHeight="true" outlineLevel="0" collapsed="false">
      <c r="A8" s="417"/>
      <c r="B8" s="417"/>
      <c r="C8" s="417"/>
      <c r="D8" s="417"/>
      <c r="E8" s="418"/>
      <c r="F8" s="418"/>
      <c r="G8" s="418"/>
      <c r="H8" s="418"/>
      <c r="I8" s="434"/>
      <c r="J8" s="434"/>
      <c r="K8" s="434"/>
      <c r="L8" s="419"/>
      <c r="P8" s="125"/>
      <c r="Q8" s="125"/>
      <c r="R8" s="438"/>
      <c r="S8" s="397"/>
      <c r="T8" s="424"/>
      <c r="U8" s="424"/>
      <c r="V8" s="442"/>
      <c r="W8" s="442"/>
      <c r="X8" s="442"/>
      <c r="Y8" s="442"/>
      <c r="Z8" s="442"/>
      <c r="AA8" s="442"/>
      <c r="AB8" s="446" t="str">
        <f aca="false">AC7&amp;"-"&amp;AE7</f>
        <v>-</v>
      </c>
      <c r="AC8" s="444"/>
      <c r="AD8" s="206"/>
      <c r="AE8" s="444"/>
      <c r="AF8" s="206"/>
      <c r="AG8" s="442"/>
      <c r="AH8" s="442"/>
      <c r="AI8" s="442"/>
      <c r="AJ8" s="442"/>
      <c r="AK8" s="442"/>
      <c r="AL8" s="442"/>
      <c r="AM8" s="446" t="str">
        <f aca="false">AN7&amp;"-"&amp;AP7</f>
        <v>-</v>
      </c>
      <c r="AN8" s="444"/>
      <c r="AO8" s="206"/>
      <c r="AP8" s="444"/>
      <c r="AQ8" s="206"/>
      <c r="AR8" s="585"/>
      <c r="AS8" s="445"/>
      <c r="AU8" s="122"/>
      <c r="AV8" s="122" t="str">
        <f aca="false">IF(T8="","",T8)</f>
        <v/>
      </c>
      <c r="AW8" s="122"/>
      <c r="AX8" s="122"/>
      <c r="AY8" s="42" t="n">
        <v>0</v>
      </c>
    </row>
    <row r="9" customFormat="false" ht="21" hidden="true" customHeight="true" outlineLevel="0" collapsed="false">
      <c r="A9" s="417"/>
      <c r="B9" s="417"/>
      <c r="C9" s="417"/>
      <c r="D9" s="417"/>
      <c r="E9" s="418"/>
      <c r="F9" s="418"/>
      <c r="G9" s="418"/>
      <c r="H9" s="418"/>
      <c r="I9" s="434"/>
      <c r="J9" s="434"/>
      <c r="K9" s="417"/>
      <c r="L9" s="419"/>
      <c r="P9" s="125"/>
      <c r="Q9" s="125"/>
      <c r="R9" s="435"/>
      <c r="S9" s="447"/>
      <c r="T9" s="450" t="s">
        <v>483</v>
      </c>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427" t="s">
        <v>484</v>
      </c>
      <c r="AU9" s="122"/>
      <c r="AV9" s="122" t="str">
        <f aca="false">IF(T9="","",T9)</f>
        <v>Добавить значение признака дифференциации</v>
      </c>
      <c r="AW9" s="122"/>
      <c r="AX9" s="122"/>
      <c r="AY9" s="42" t="n">
        <v>0</v>
      </c>
    </row>
    <row r="10" customFormat="false" ht="21" hidden="true" customHeight="true" outlineLevel="0" collapsed="false">
      <c r="A10" s="417"/>
      <c r="B10" s="417"/>
      <c r="C10" s="417"/>
      <c r="D10" s="417"/>
      <c r="E10" s="418"/>
      <c r="F10" s="418"/>
      <c r="G10" s="418"/>
      <c r="H10" s="418"/>
      <c r="I10" s="434"/>
      <c r="J10" s="417"/>
      <c r="K10" s="417"/>
      <c r="L10" s="419"/>
      <c r="P10" s="125"/>
      <c r="Q10" s="125"/>
      <c r="R10" s="435"/>
      <c r="S10" s="447"/>
      <c r="T10" s="454" t="s">
        <v>409</v>
      </c>
      <c r="U10" s="196"/>
      <c r="V10" s="196"/>
      <c r="W10" s="196"/>
      <c r="X10" s="196"/>
      <c r="Y10" s="196"/>
      <c r="Z10" s="196"/>
      <c r="AA10" s="196"/>
      <c r="AB10" s="196"/>
      <c r="AC10" s="196"/>
      <c r="AD10" s="196"/>
      <c r="AE10" s="196"/>
      <c r="AF10" s="451"/>
      <c r="AG10" s="196"/>
      <c r="AH10" s="196"/>
      <c r="AI10" s="196"/>
      <c r="AJ10" s="196"/>
      <c r="AK10" s="196"/>
      <c r="AL10" s="196"/>
      <c r="AM10" s="196"/>
      <c r="AN10" s="196"/>
      <c r="AO10" s="196"/>
      <c r="AP10" s="196"/>
      <c r="AQ10" s="451"/>
      <c r="AR10" s="196"/>
      <c r="AS10" s="586"/>
      <c r="AU10" s="122"/>
      <c r="AV10" s="122" t="str">
        <f aca="false">IF(T10="","",T10)</f>
        <v>Добавить группу потребителей</v>
      </c>
      <c r="AW10" s="122"/>
      <c r="AX10" s="122"/>
      <c r="AY10" s="42" t="n">
        <v>0</v>
      </c>
    </row>
    <row r="11" customFormat="false" ht="21" hidden="true" customHeight="true" outlineLevel="0" collapsed="false">
      <c r="A11" s="417"/>
      <c r="B11" s="417"/>
      <c r="C11" s="417"/>
      <c r="D11" s="417"/>
      <c r="E11" s="418"/>
      <c r="F11" s="418"/>
      <c r="G11" s="418"/>
      <c r="H11" s="580"/>
      <c r="I11" s="417"/>
      <c r="J11" s="417"/>
      <c r="K11" s="417"/>
      <c r="L11" s="419"/>
      <c r="M11" s="420"/>
      <c r="N11" s="420"/>
      <c r="O11" s="45"/>
      <c r="P11" s="136"/>
      <c r="Q11" s="453"/>
      <c r="R11" s="421"/>
      <c r="S11" s="447"/>
      <c r="T11" s="587" t="s">
        <v>485</v>
      </c>
      <c r="U11" s="196"/>
      <c r="V11" s="196"/>
      <c r="W11" s="196"/>
      <c r="X11" s="196"/>
      <c r="Y11" s="196"/>
      <c r="Z11" s="196"/>
      <c r="AA11" s="196"/>
      <c r="AB11" s="196"/>
      <c r="AC11" s="196"/>
      <c r="AD11" s="196"/>
      <c r="AE11" s="196"/>
      <c r="AF11" s="451"/>
      <c r="AG11" s="196"/>
      <c r="AH11" s="196"/>
      <c r="AI11" s="196"/>
      <c r="AJ11" s="196"/>
      <c r="AK11" s="196"/>
      <c r="AL11" s="196"/>
      <c r="AM11" s="196"/>
      <c r="AN11" s="196"/>
      <c r="AO11" s="196"/>
      <c r="AP11" s="196"/>
      <c r="AQ11" s="451"/>
      <c r="AR11" s="196"/>
      <c r="AS11" s="452"/>
      <c r="AU11" s="122"/>
      <c r="AV11" s="122" t="str">
        <f aca="false">IF(T11="","",T11)</f>
        <v>Добавить наименование признака дифференциации</v>
      </c>
      <c r="AW11" s="122"/>
      <c r="AX11" s="122"/>
      <c r="AY11" s="42" t="n">
        <v>0</v>
      </c>
    </row>
    <row r="12" s="49" customFormat="true" ht="14.25" hidden="true" customHeight="true" outlineLevel="0" collapsed="false">
      <c r="A12" s="126"/>
      <c r="B12" s="126"/>
      <c r="C12" s="126"/>
      <c r="D12" s="126"/>
      <c r="E12" s="418"/>
      <c r="F12" s="418"/>
      <c r="G12" s="126"/>
      <c r="H12" s="126"/>
      <c r="I12" s="126"/>
      <c r="J12" s="126"/>
      <c r="K12" s="126"/>
      <c r="L12" s="194"/>
      <c r="M12" s="459"/>
      <c r="N12" s="459"/>
      <c r="P12" s="160"/>
      <c r="Q12" s="455"/>
      <c r="R12" s="160"/>
      <c r="S12" s="460"/>
      <c r="T12" s="463" t="s">
        <v>412</v>
      </c>
      <c r="U12" s="462"/>
      <c r="V12" s="462"/>
      <c r="W12" s="462"/>
      <c r="X12" s="462"/>
      <c r="Y12" s="462"/>
      <c r="Z12" s="462"/>
      <c r="AA12" s="462"/>
      <c r="AB12" s="462"/>
      <c r="AC12" s="462"/>
      <c r="AD12" s="462"/>
      <c r="AE12" s="462"/>
      <c r="AF12" s="462"/>
      <c r="AG12" s="462"/>
      <c r="AH12" s="462"/>
      <c r="AI12" s="462"/>
      <c r="AJ12" s="462"/>
      <c r="AK12" s="462"/>
      <c r="AL12" s="462"/>
      <c r="AM12" s="462"/>
      <c r="AN12" s="462"/>
      <c r="AO12" s="462"/>
      <c r="AP12" s="462"/>
      <c r="AQ12" s="462"/>
      <c r="AR12" s="462"/>
      <c r="AS12" s="462"/>
      <c r="AU12" s="122"/>
      <c r="AV12" s="122" t="str">
        <f aca="false">IF(T12="","",T12)</f>
        <v>Добавить централизованную систему для дифференциации</v>
      </c>
      <c r="AW12" s="122"/>
      <c r="AX12" s="122"/>
      <c r="AY12" s="49" t="n">
        <v>0</v>
      </c>
    </row>
    <row r="13" s="49" customFormat="true" ht="14.25" hidden="true" customHeight="true" outlineLevel="0" collapsed="false">
      <c r="A13" s="126"/>
      <c r="B13" s="126"/>
      <c r="C13" s="126"/>
      <c r="D13" s="126"/>
      <c r="E13" s="418"/>
      <c r="F13" s="126"/>
      <c r="G13" s="126"/>
      <c r="H13" s="126"/>
      <c r="I13" s="126"/>
      <c r="J13" s="126"/>
      <c r="K13" s="126"/>
      <c r="L13" s="194"/>
      <c r="M13" s="459"/>
      <c r="N13" s="459"/>
      <c r="P13" s="160"/>
      <c r="Q13" s="455"/>
      <c r="R13" s="160"/>
      <c r="S13" s="460"/>
      <c r="T13" s="463" t="s">
        <v>413</v>
      </c>
      <c r="U13" s="462"/>
      <c r="V13" s="462"/>
      <c r="W13" s="462"/>
      <c r="X13" s="462"/>
      <c r="Y13" s="462"/>
      <c r="Z13" s="462"/>
      <c r="AA13" s="462"/>
      <c r="AB13" s="462"/>
      <c r="AC13" s="462"/>
      <c r="AD13" s="462"/>
      <c r="AE13" s="462"/>
      <c r="AF13" s="462"/>
      <c r="AG13" s="462"/>
      <c r="AH13" s="462"/>
      <c r="AI13" s="462"/>
      <c r="AJ13" s="462"/>
      <c r="AK13" s="462"/>
      <c r="AL13" s="462"/>
      <c r="AM13" s="462"/>
      <c r="AN13" s="462"/>
      <c r="AO13" s="462"/>
      <c r="AP13" s="462"/>
      <c r="AQ13" s="462"/>
      <c r="AR13" s="462"/>
      <c r="AS13" s="462"/>
      <c r="AU13" s="122"/>
      <c r="AV13" s="122" t="str">
        <f aca="false">IF(T13="","",T13)</f>
        <v>Добавить территорию для дифференциации</v>
      </c>
      <c r="AW13" s="122"/>
      <c r="AX13" s="122"/>
      <c r="AY13" s="49" t="n">
        <v>0</v>
      </c>
    </row>
    <row r="14" customFormat="false" ht="14.25" hidden="true" customHeight="true" outlineLevel="0" collapsed="false">
      <c r="AY14" s="42" t="n">
        <v>0</v>
      </c>
    </row>
    <row r="15" customFormat="false" ht="14.25" hidden="true" customHeight="true" outlineLevel="0" collapsed="false">
      <c r="AG15" s="464"/>
      <c r="AH15" s="464"/>
      <c r="AI15" s="464"/>
      <c r="AJ15" s="464"/>
      <c r="AK15" s="464"/>
      <c r="AL15" s="464"/>
      <c r="AM15" s="465"/>
      <c r="AN15" s="466"/>
      <c r="AO15" s="467" t="s">
        <v>64</v>
      </c>
      <c r="AP15" s="466"/>
      <c r="AQ15" s="467" t="s">
        <v>64</v>
      </c>
      <c r="AY15" s="42" t="n">
        <v>0</v>
      </c>
    </row>
    <row r="16" customFormat="false" ht="14.25" hidden="true" customHeight="true" outlineLevel="0" collapsed="false">
      <c r="AG16" s="464"/>
      <c r="AH16" s="464"/>
      <c r="AI16" s="464"/>
      <c r="AJ16" s="464"/>
      <c r="AK16" s="464"/>
      <c r="AL16" s="464"/>
      <c r="AM16" s="446" t="str">
        <f aca="false">AN15&amp;"-"&amp;AP15</f>
        <v>-</v>
      </c>
      <c r="AN16" s="466"/>
      <c r="AO16" s="466"/>
      <c r="AP16" s="466"/>
      <c r="AQ16" s="466"/>
      <c r="AY16" s="42" t="n">
        <v>0</v>
      </c>
    </row>
    <row r="17" customFormat="false" ht="14.25" hidden="true" customHeight="true" outlineLevel="0" collapsed="false">
      <c r="AY17" s="42" t="n">
        <v>0</v>
      </c>
    </row>
    <row r="18" s="45" customFormat="true" ht="22.5" hidden="true" customHeight="true" outlineLevel="0" collapsed="false">
      <c r="L18" s="107"/>
      <c r="M18" s="53"/>
      <c r="N18" s="53"/>
      <c r="O18" s="468" t="s">
        <v>414</v>
      </c>
      <c r="P18" s="53"/>
      <c r="Q18" s="469"/>
      <c r="R18" s="469"/>
      <c r="S18" s="420"/>
      <c r="AC18" s="468"/>
      <c r="AE18" s="468"/>
      <c r="AN18" s="468"/>
      <c r="AP18" s="468"/>
      <c r="AT18" s="49"/>
      <c r="AU18" s="49"/>
      <c r="AV18" s="49"/>
      <c r="AW18" s="49"/>
      <c r="AX18" s="49"/>
      <c r="AY18" s="45" t="n">
        <v>0</v>
      </c>
    </row>
    <row r="19" s="45" customFormat="true" ht="14.25" hidden="true" customHeight="true" outlineLevel="0" collapsed="false">
      <c r="L19" s="107"/>
      <c r="M19" s="53"/>
      <c r="N19" s="53"/>
      <c r="O19" s="53"/>
      <c r="P19" s="53"/>
      <c r="Q19" s="469"/>
      <c r="R19" s="469"/>
      <c r="S19" s="420"/>
      <c r="AT19" s="49"/>
      <c r="AU19" s="49"/>
      <c r="AV19" s="49"/>
      <c r="AW19" s="49"/>
      <c r="AX19" s="49"/>
      <c r="AY19" s="45" t="n">
        <v>0</v>
      </c>
    </row>
    <row r="20" s="45" customFormat="true" ht="12" hidden="true" customHeight="true" outlineLevel="0" collapsed="false">
      <c r="L20" s="107"/>
      <c r="M20" s="53"/>
      <c r="N20" s="53"/>
      <c r="O20" s="419" t="s">
        <v>415</v>
      </c>
      <c r="P20" s="53"/>
      <c r="Q20" s="588"/>
      <c r="R20" s="588"/>
      <c r="S20" s="420"/>
      <c r="T20" s="45" t="s">
        <v>416</v>
      </c>
      <c r="AD20" s="144" t="s">
        <v>417</v>
      </c>
      <c r="AF20" s="144" t="s">
        <v>418</v>
      </c>
      <c r="AG20" s="45" t="s">
        <v>416</v>
      </c>
      <c r="AO20" s="144" t="s">
        <v>419</v>
      </c>
      <c r="AQ20" s="144" t="s">
        <v>418</v>
      </c>
      <c r="AY20" s="45" t="n">
        <v>0</v>
      </c>
    </row>
    <row r="21" customFormat="false" ht="14.25" hidden="true" customHeight="true" outlineLevel="0" collapsed="false">
      <c r="O21" s="419"/>
      <c r="AY21" s="42" t="n">
        <v>0</v>
      </c>
    </row>
    <row r="22" customFormat="false" ht="14.25" hidden="true" customHeight="true" outlineLevel="0" collapsed="false">
      <c r="O22" s="419"/>
      <c r="AY22" s="42" t="n">
        <v>0</v>
      </c>
    </row>
    <row r="23" customFormat="false" ht="14.25" hidden="false" customHeight="true" outlineLevel="0" collapsed="false">
      <c r="Q23" s="470"/>
      <c r="R23" s="470"/>
      <c r="S23" s="471"/>
      <c r="T23" s="83"/>
      <c r="U23" s="83"/>
      <c r="AY23" s="42" t="n">
        <v>14</v>
      </c>
    </row>
    <row r="24" customFormat="false" ht="26.25" hidden="false" customHeight="true" outlineLevel="0" collapsed="false">
      <c r="Q24" s="470"/>
      <c r="R24" s="470"/>
      <c r="S24" s="215"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7"/>
      <c r="AY24" s="42" t="n">
        <v>25</v>
      </c>
    </row>
    <row r="25" customFormat="false" ht="14.25" hidden="false" customHeight="true" outlineLevel="0" collapsed="false">
      <c r="Q25" s="470"/>
      <c r="R25" s="470"/>
      <c r="S25" s="259" t="str">
        <f aca="false">IF(org=0,"Не определено",org)</f>
        <v>Филиал ПАО "ОГК-2" - Серовская ГРЭС, г. Серов</v>
      </c>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17"/>
      <c r="AY25" s="42" t="n">
        <v>14</v>
      </c>
    </row>
    <row r="26" customFormat="false" ht="14.25" hidden="true" customHeight="true" outlineLevel="0" collapsed="false">
      <c r="Q26" s="470"/>
      <c r="R26" s="470"/>
      <c r="S26" s="471"/>
      <c r="T26" s="83"/>
      <c r="U26" s="83"/>
      <c r="V26" s="472"/>
      <c r="W26" s="472"/>
      <c r="X26" s="472"/>
      <c r="Y26" s="472"/>
      <c r="Z26" s="472"/>
      <c r="AA26" s="472"/>
      <c r="AB26" s="472"/>
      <c r="AC26" s="472"/>
      <c r="AD26" s="472"/>
      <c r="AE26" s="472"/>
      <c r="AF26" s="472"/>
      <c r="AG26" s="472"/>
      <c r="AH26" s="472"/>
      <c r="AI26" s="472"/>
      <c r="AJ26" s="472"/>
      <c r="AK26" s="472"/>
      <c r="AL26" s="472"/>
      <c r="AM26" s="472"/>
      <c r="AN26" s="472"/>
      <c r="AO26" s="472"/>
      <c r="AP26" s="472"/>
      <c r="AQ26" s="472"/>
      <c r="AY26" s="42" t="n">
        <v>0</v>
      </c>
    </row>
    <row r="27" s="177" customFormat="true" ht="25.5" hidden="true" customHeight="true" outlineLevel="0" collapsed="false">
      <c r="A27" s="144"/>
      <c r="B27" s="144"/>
      <c r="C27" s="144"/>
      <c r="D27" s="144"/>
      <c r="E27" s="144"/>
      <c r="F27" s="144"/>
      <c r="G27" s="144"/>
      <c r="H27" s="144"/>
      <c r="I27" s="144"/>
      <c r="J27" s="144"/>
      <c r="K27" s="144"/>
      <c r="L27" s="419"/>
      <c r="M27" s="144"/>
      <c r="N27" s="144"/>
      <c r="O27" s="144"/>
      <c r="S27" s="473" t="s">
        <v>41</v>
      </c>
      <c r="T27" s="473"/>
      <c r="U27" s="474"/>
      <c r="V27" s="475" t="str">
        <f aca="false">IF(TITLE_NAME_OR_PR_CHANGE="",IF(TITLE_NAME_OR_PR="","",TITLE_NAME_OR_PR),TITLE_NAME_OR_PR_CHANGE)</f>
        <v/>
      </c>
      <c r="W27" s="475"/>
      <c r="X27" s="475"/>
      <c r="Y27" s="475"/>
      <c r="Z27" s="475"/>
      <c r="AA27" s="475"/>
      <c r="AB27" s="475"/>
      <c r="AC27" s="475"/>
      <c r="AD27" s="475"/>
      <c r="AE27" s="475"/>
      <c r="AF27" s="42"/>
      <c r="AG27" s="475" t="str">
        <f aca="false">IF(TITLE_NAME_OR_PR_CHANGE="",IF(TITLE_NAME_OR_PR="","",TITLE_NAME_OR_PR),TITLE_NAME_OR_PR_CHANGE)</f>
        <v/>
      </c>
      <c r="AH27" s="475"/>
      <c r="AI27" s="475"/>
      <c r="AJ27" s="475"/>
      <c r="AK27" s="475"/>
      <c r="AL27" s="475"/>
      <c r="AM27" s="475"/>
      <c r="AN27" s="475"/>
      <c r="AO27" s="475"/>
      <c r="AP27" s="475"/>
      <c r="AQ27" s="42"/>
      <c r="AR27" s="42"/>
      <c r="AS27" s="476"/>
      <c r="AT27" s="122"/>
      <c r="AU27" s="122"/>
      <c r="AV27" s="122"/>
      <c r="AW27" s="122"/>
      <c r="AX27" s="122"/>
      <c r="AY27" s="177" t="n">
        <v>0</v>
      </c>
    </row>
    <row r="28" s="177" customFormat="true" ht="18.75" hidden="true" customHeight="true" outlineLevel="0" collapsed="false">
      <c r="A28" s="144"/>
      <c r="B28" s="144"/>
      <c r="C28" s="144"/>
      <c r="D28" s="144"/>
      <c r="E28" s="144"/>
      <c r="F28" s="144"/>
      <c r="G28" s="144"/>
      <c r="H28" s="144"/>
      <c r="I28" s="144"/>
      <c r="J28" s="144"/>
      <c r="K28" s="144"/>
      <c r="L28" s="419"/>
      <c r="M28" s="144"/>
      <c r="N28" s="144"/>
      <c r="O28" s="144"/>
      <c r="S28" s="473" t="s">
        <v>420</v>
      </c>
      <c r="T28" s="473"/>
      <c r="U28" s="474"/>
      <c r="V28" s="477" t="str">
        <f aca="false">IF(TITLE_DATE_PR_CHANGE="",IF(TITLE_DATE_PR="","",TITLE_DATE_PR),TITLE_DATE_PR_CHANGE)</f>
        <v/>
      </c>
      <c r="W28" s="477"/>
      <c r="X28" s="477"/>
      <c r="Y28" s="477"/>
      <c r="Z28" s="477"/>
      <c r="AA28" s="477"/>
      <c r="AB28" s="477"/>
      <c r="AC28" s="477"/>
      <c r="AD28" s="477"/>
      <c r="AE28" s="477"/>
      <c r="AF28" s="42"/>
      <c r="AG28" s="477" t="str">
        <f aca="false">IF(TITLE_DATE_PR_CHANGE="",IF(TITLE_DATE_PR="","",TITLE_DATE_PR),TITLE_DATE_PR_CHANGE)</f>
        <v/>
      </c>
      <c r="AH28" s="477"/>
      <c r="AI28" s="477"/>
      <c r="AJ28" s="477"/>
      <c r="AK28" s="477"/>
      <c r="AL28" s="477"/>
      <c r="AM28" s="477"/>
      <c r="AN28" s="477"/>
      <c r="AO28" s="477"/>
      <c r="AP28" s="477"/>
      <c r="AQ28" s="42"/>
      <c r="AR28" s="42"/>
      <c r="AS28" s="476"/>
      <c r="AT28" s="122"/>
      <c r="AU28" s="122"/>
      <c r="AV28" s="122"/>
      <c r="AW28" s="122"/>
      <c r="AX28" s="122"/>
      <c r="AY28" s="177" t="n">
        <v>0</v>
      </c>
    </row>
    <row r="29" s="177" customFormat="true" ht="18.75" hidden="true" customHeight="true" outlineLevel="0" collapsed="false">
      <c r="A29" s="144"/>
      <c r="B29" s="144"/>
      <c r="C29" s="144"/>
      <c r="D29" s="144"/>
      <c r="E29" s="144"/>
      <c r="F29" s="144"/>
      <c r="G29" s="144"/>
      <c r="H29" s="144"/>
      <c r="I29" s="144"/>
      <c r="J29" s="144"/>
      <c r="K29" s="144"/>
      <c r="L29" s="419"/>
      <c r="M29" s="144"/>
      <c r="N29" s="144"/>
      <c r="O29" s="144"/>
      <c r="S29" s="473" t="s">
        <v>421</v>
      </c>
      <c r="T29" s="473"/>
      <c r="U29" s="474"/>
      <c r="V29" s="475" t="str">
        <f aca="false">IF(TITLE_NUMBER_PR_CHANGE="",IF(TITLE_NUMBER_PR="","",TITLE_NUMBER_PR),TITLE_NUMBER_PR_CHANGE)</f>
        <v/>
      </c>
      <c r="W29" s="475"/>
      <c r="X29" s="475"/>
      <c r="Y29" s="475"/>
      <c r="Z29" s="475"/>
      <c r="AA29" s="475"/>
      <c r="AB29" s="475"/>
      <c r="AC29" s="475"/>
      <c r="AD29" s="475"/>
      <c r="AE29" s="475"/>
      <c r="AF29" s="42"/>
      <c r="AG29" s="475" t="str">
        <f aca="false">IF(TITLE_NUMBER_PR_CHANGE="",IF(TITLE_NUMBER_PR="","",TITLE_NUMBER_PR),TITLE_NUMBER_PR_CHANGE)</f>
        <v/>
      </c>
      <c r="AH29" s="475"/>
      <c r="AI29" s="475"/>
      <c r="AJ29" s="475"/>
      <c r="AK29" s="475"/>
      <c r="AL29" s="475"/>
      <c r="AM29" s="475"/>
      <c r="AN29" s="475"/>
      <c r="AO29" s="475"/>
      <c r="AP29" s="475"/>
      <c r="AQ29" s="42"/>
      <c r="AR29" s="42"/>
      <c r="AS29" s="476"/>
      <c r="AT29" s="122"/>
      <c r="AU29" s="122"/>
      <c r="AV29" s="122"/>
      <c r="AW29" s="122"/>
      <c r="AX29" s="122"/>
      <c r="AY29" s="177" t="n">
        <v>0</v>
      </c>
    </row>
    <row r="30" s="177" customFormat="true" ht="18.75" hidden="true" customHeight="true" outlineLevel="0" collapsed="false">
      <c r="A30" s="144"/>
      <c r="B30" s="144"/>
      <c r="C30" s="144"/>
      <c r="D30" s="144"/>
      <c r="E30" s="144"/>
      <c r="F30" s="144"/>
      <c r="G30" s="144"/>
      <c r="H30" s="144"/>
      <c r="I30" s="144"/>
      <c r="J30" s="144"/>
      <c r="K30" s="144"/>
      <c r="L30" s="419"/>
      <c r="M30" s="144"/>
      <c r="N30" s="144"/>
      <c r="O30" s="144"/>
      <c r="S30" s="473" t="s">
        <v>42</v>
      </c>
      <c r="T30" s="473"/>
      <c r="U30" s="474"/>
      <c r="V30" s="475" t="str">
        <f aca="false">IF(TITLE_IST_PUB_CHANGE="",IF(TITLE_IST_PUB="","",TITLE_IST_PUB),TITLE_IST_PUB_CHANGE)</f>
        <v/>
      </c>
      <c r="W30" s="475"/>
      <c r="X30" s="475"/>
      <c r="Y30" s="475"/>
      <c r="Z30" s="475"/>
      <c r="AA30" s="475"/>
      <c r="AB30" s="475"/>
      <c r="AC30" s="475"/>
      <c r="AD30" s="475"/>
      <c r="AE30" s="475"/>
      <c r="AF30" s="42"/>
      <c r="AG30" s="475" t="str">
        <f aca="false">IF(TITLE_IST_PUB_CHANGE="",IF(TITLE_IST_PUB="","",TITLE_IST_PUB),TITLE_IST_PUB_CHANGE)</f>
        <v/>
      </c>
      <c r="AH30" s="475"/>
      <c r="AI30" s="475"/>
      <c r="AJ30" s="475"/>
      <c r="AK30" s="475"/>
      <c r="AL30" s="475"/>
      <c r="AM30" s="475"/>
      <c r="AN30" s="475"/>
      <c r="AO30" s="475"/>
      <c r="AP30" s="475"/>
      <c r="AQ30" s="42"/>
      <c r="AR30" s="42"/>
      <c r="AS30" s="476"/>
      <c r="AT30" s="122"/>
      <c r="AU30" s="122"/>
      <c r="AV30" s="122"/>
      <c r="AW30" s="122"/>
      <c r="AX30" s="122"/>
      <c r="AY30" s="177" t="n">
        <v>0</v>
      </c>
    </row>
    <row r="31" customFormat="false" ht="14.25" hidden="true" customHeight="true" outlineLevel="0" collapsed="false">
      <c r="Q31" s="470"/>
      <c r="R31" s="470"/>
      <c r="S31" s="471"/>
      <c r="T31" s="83"/>
      <c r="U31" s="83"/>
      <c r="V31" s="472"/>
      <c r="W31" s="472"/>
      <c r="X31" s="472"/>
      <c r="Y31" s="472"/>
      <c r="Z31" s="472"/>
      <c r="AA31" s="472"/>
      <c r="AB31" s="472"/>
      <c r="AC31" s="472"/>
      <c r="AD31" s="472"/>
      <c r="AE31" s="472"/>
      <c r="AF31" s="472"/>
      <c r="AG31" s="472"/>
      <c r="AH31" s="472"/>
      <c r="AI31" s="472"/>
      <c r="AJ31" s="472"/>
      <c r="AK31" s="472"/>
      <c r="AL31" s="472"/>
      <c r="AM31" s="472"/>
      <c r="AN31" s="472"/>
      <c r="AO31" s="472"/>
      <c r="AP31" s="472"/>
      <c r="AQ31" s="472"/>
      <c r="AY31" s="42"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S32" s="473" t="s">
        <v>422</v>
      </c>
      <c r="T32" s="473"/>
      <c r="U32" s="474"/>
      <c r="V32" s="477" t="str">
        <f aca="false">IF(TITLE_DATE_PR_CHANGE="",IF(TITLE_DATE_PR="","",TITLE_DATE_PR),TITLE_DATE_PR_CHANGE)</f>
        <v/>
      </c>
      <c r="W32" s="477"/>
      <c r="X32" s="477"/>
      <c r="Y32" s="477"/>
      <c r="Z32" s="477"/>
      <c r="AA32" s="477"/>
      <c r="AB32" s="477"/>
      <c r="AC32" s="477"/>
      <c r="AD32" s="477"/>
      <c r="AE32" s="477"/>
      <c r="AF32" s="42"/>
      <c r="AG32" s="477" t="str">
        <f aca="false">IF(TITLE_DATE_PR_CHANGE="",IF(TITLE_DATE_PR="","",TITLE_DATE_PR),TITLE_DATE_PR_CHANGE)</f>
        <v/>
      </c>
      <c r="AH32" s="477"/>
      <c r="AI32" s="477"/>
      <c r="AJ32" s="477"/>
      <c r="AK32" s="477"/>
      <c r="AL32" s="477"/>
      <c r="AM32" s="477"/>
      <c r="AN32" s="477"/>
      <c r="AO32" s="477"/>
      <c r="AP32" s="477"/>
      <c r="AQ32" s="42"/>
      <c r="AR32" s="42"/>
      <c r="AS32" s="476"/>
      <c r="AT32" s="122"/>
      <c r="AU32" s="122"/>
      <c r="AV32" s="122"/>
      <c r="AW32" s="122"/>
      <c r="AX32" s="122"/>
      <c r="AY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S33" s="473" t="s">
        <v>423</v>
      </c>
      <c r="T33" s="473"/>
      <c r="U33" s="474"/>
      <c r="V33" s="475" t="str">
        <f aca="false">IF(TITLE_NUMBER_PR_CHANGE="",IF(TITLE_NUMBER_PR="","",TITLE_NUMBER_PR),TITLE_NUMBER_PR_CHANGE)</f>
        <v/>
      </c>
      <c r="W33" s="475"/>
      <c r="X33" s="475"/>
      <c r="Y33" s="475"/>
      <c r="Z33" s="475"/>
      <c r="AA33" s="475"/>
      <c r="AB33" s="475"/>
      <c r="AC33" s="475"/>
      <c r="AD33" s="475"/>
      <c r="AE33" s="475"/>
      <c r="AF33" s="42"/>
      <c r="AG33" s="475" t="str">
        <f aca="false">IF(TITLE_NUMBER_PR_CHANGE="",IF(TITLE_NUMBER_PR="","",TITLE_NUMBER_PR),TITLE_NUMBER_PR_CHANGE)</f>
        <v/>
      </c>
      <c r="AH33" s="475"/>
      <c r="AI33" s="475"/>
      <c r="AJ33" s="475"/>
      <c r="AK33" s="475"/>
      <c r="AL33" s="475"/>
      <c r="AM33" s="475"/>
      <c r="AN33" s="475"/>
      <c r="AO33" s="475"/>
      <c r="AP33" s="475"/>
      <c r="AQ33" s="42"/>
      <c r="AR33" s="42"/>
      <c r="AS33" s="476"/>
      <c r="AT33" s="122"/>
      <c r="AU33" s="122"/>
      <c r="AV33" s="122"/>
      <c r="AW33" s="122"/>
      <c r="AX33" s="122"/>
      <c r="AY33" s="177" t="n">
        <v>0</v>
      </c>
    </row>
    <row r="34" s="177" customFormat="true" ht="0.75" hidden="false" customHeight="true" outlineLevel="0" collapsed="false">
      <c r="A34" s="144"/>
      <c r="B34" s="144"/>
      <c r="C34" s="144"/>
      <c r="D34" s="144"/>
      <c r="E34" s="144"/>
      <c r="F34" s="144"/>
      <c r="G34" s="144"/>
      <c r="H34" s="144"/>
      <c r="I34" s="144"/>
      <c r="J34" s="144"/>
      <c r="K34" s="144"/>
      <c r="L34" s="419"/>
      <c r="M34" s="144"/>
      <c r="N34" s="144"/>
      <c r="O34" s="144"/>
      <c r="S34" s="42"/>
      <c r="T34" s="42"/>
      <c r="U34" s="132"/>
      <c r="V34" s="42"/>
      <c r="W34" s="42"/>
      <c r="X34" s="42"/>
      <c r="Y34" s="42"/>
      <c r="Z34" s="42"/>
      <c r="AA34" s="42"/>
      <c r="AB34" s="42"/>
      <c r="AC34" s="42"/>
      <c r="AD34" s="42"/>
      <c r="AE34" s="42"/>
      <c r="AF34" s="49" t="s">
        <v>424</v>
      </c>
      <c r="AG34" s="42"/>
      <c r="AH34" s="42"/>
      <c r="AI34" s="42"/>
      <c r="AJ34" s="42"/>
      <c r="AK34" s="42"/>
      <c r="AL34" s="42"/>
      <c r="AM34" s="42"/>
      <c r="AN34" s="42"/>
      <c r="AO34" s="42"/>
      <c r="AP34" s="42"/>
      <c r="AQ34" s="49" t="s">
        <v>424</v>
      </c>
      <c r="AT34" s="122"/>
      <c r="AU34" s="122"/>
      <c r="AV34" s="122"/>
      <c r="AW34" s="122"/>
      <c r="AX34" s="122"/>
      <c r="AY34" s="177" t="n">
        <v>1</v>
      </c>
    </row>
    <row r="35" customFormat="false" ht="14.25" hidden="false" customHeight="true" outlineLevel="0" collapsed="false">
      <c r="Q35" s="470"/>
      <c r="R35" s="470"/>
      <c r="S35" s="471"/>
      <c r="T35" s="83"/>
      <c r="U35" s="478"/>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Y35" s="42" t="n">
        <v>14</v>
      </c>
    </row>
    <row r="36" customFormat="false" ht="14.25" hidden="false" customHeight="true" outlineLevel="0" collapsed="false">
      <c r="Q36" s="470"/>
      <c r="R36" s="470"/>
      <c r="S36" s="138" t="s">
        <v>297</v>
      </c>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t="s">
        <v>298</v>
      </c>
      <c r="AY36" s="42" t="n">
        <v>14</v>
      </c>
    </row>
    <row r="37" customFormat="false" ht="14.25" hidden="false" customHeight="true" outlineLevel="0" collapsed="false">
      <c r="Q37" s="470"/>
      <c r="R37" s="470"/>
      <c r="S37" s="422" t="s">
        <v>86</v>
      </c>
      <c r="T37" s="395" t="s">
        <v>425</v>
      </c>
      <c r="U37" s="481"/>
      <c r="V37" s="294" t="s">
        <v>426</v>
      </c>
      <c r="W37" s="294"/>
      <c r="X37" s="294"/>
      <c r="Y37" s="294"/>
      <c r="Z37" s="294"/>
      <c r="AA37" s="294"/>
      <c r="AB37" s="294"/>
      <c r="AC37" s="294"/>
      <c r="AD37" s="294"/>
      <c r="AE37" s="294"/>
      <c r="AF37" s="395" t="s">
        <v>427</v>
      </c>
      <c r="AG37" s="294" t="s">
        <v>426</v>
      </c>
      <c r="AH37" s="294"/>
      <c r="AI37" s="294"/>
      <c r="AJ37" s="294"/>
      <c r="AK37" s="294"/>
      <c r="AL37" s="294"/>
      <c r="AM37" s="294"/>
      <c r="AN37" s="294"/>
      <c r="AO37" s="294"/>
      <c r="AP37" s="294"/>
      <c r="AQ37" s="395" t="s">
        <v>428</v>
      </c>
      <c r="AR37" s="482" t="s">
        <v>429</v>
      </c>
      <c r="AS37" s="138"/>
      <c r="AY37" s="42" t="n">
        <v>14</v>
      </c>
    </row>
    <row r="38" s="42" customFormat="true" ht="19.5" hidden="false" customHeight="true" outlineLevel="0" collapsed="false">
      <c r="A38" s="45"/>
      <c r="B38" s="45"/>
      <c r="C38" s="45"/>
      <c r="D38" s="45"/>
      <c r="E38" s="45"/>
      <c r="F38" s="45"/>
      <c r="G38" s="45"/>
      <c r="H38" s="45"/>
      <c r="I38" s="45"/>
      <c r="J38" s="45"/>
      <c r="K38" s="45"/>
      <c r="L38" s="107"/>
      <c r="M38" s="53"/>
      <c r="N38" s="53"/>
      <c r="O38" s="53"/>
      <c r="P38" s="52"/>
      <c r="Q38" s="470"/>
      <c r="R38" s="470"/>
      <c r="S38" s="422"/>
      <c r="T38" s="395"/>
      <c r="U38" s="483"/>
      <c r="V38" s="150" t="s">
        <v>529</v>
      </c>
      <c r="W38" s="607" t="s">
        <v>530</v>
      </c>
      <c r="X38" s="607"/>
      <c r="Y38" s="607"/>
      <c r="Z38" s="607" t="s">
        <v>531</v>
      </c>
      <c r="AA38" s="607"/>
      <c r="AB38" s="607"/>
      <c r="AC38" s="138" t="s">
        <v>433</v>
      </c>
      <c r="AD38" s="138"/>
      <c r="AE38" s="138"/>
      <c r="AF38" s="395"/>
      <c r="AG38" s="150" t="s">
        <v>529</v>
      </c>
      <c r="AH38" s="607" t="s">
        <v>530</v>
      </c>
      <c r="AI38" s="607"/>
      <c r="AJ38" s="607"/>
      <c r="AK38" s="607" t="s">
        <v>531</v>
      </c>
      <c r="AL38" s="607"/>
      <c r="AM38" s="607"/>
      <c r="AN38" s="138" t="s">
        <v>433</v>
      </c>
      <c r="AO38" s="138"/>
      <c r="AP38" s="138"/>
      <c r="AQ38" s="395"/>
      <c r="AR38" s="482"/>
      <c r="AS38" s="138"/>
      <c r="AT38" s="49"/>
      <c r="AU38" s="49"/>
      <c r="AV38" s="49"/>
      <c r="AW38" s="49"/>
      <c r="AX38" s="49"/>
      <c r="AY38" s="42" t="n">
        <v>19</v>
      </c>
    </row>
    <row r="39" customFormat="false" ht="19.5" hidden="false" customHeight="true" outlineLevel="0" collapsed="false">
      <c r="Q39" s="470"/>
      <c r="R39" s="470"/>
      <c r="S39" s="422"/>
      <c r="T39" s="395"/>
      <c r="U39" s="483"/>
      <c r="V39" s="150"/>
      <c r="W39" s="607" t="s">
        <v>532</v>
      </c>
      <c r="X39" s="607" t="s">
        <v>533</v>
      </c>
      <c r="Y39" s="607"/>
      <c r="Z39" s="607" t="s">
        <v>534</v>
      </c>
      <c r="AA39" s="607" t="s">
        <v>533</v>
      </c>
      <c r="AB39" s="607"/>
      <c r="AC39" s="138"/>
      <c r="AD39" s="138"/>
      <c r="AE39" s="138"/>
      <c r="AF39" s="395"/>
      <c r="AG39" s="150"/>
      <c r="AH39" s="607" t="s">
        <v>532</v>
      </c>
      <c r="AI39" s="607" t="s">
        <v>533</v>
      </c>
      <c r="AJ39" s="607"/>
      <c r="AK39" s="607" t="s">
        <v>534</v>
      </c>
      <c r="AL39" s="607" t="s">
        <v>533</v>
      </c>
      <c r="AM39" s="607"/>
      <c r="AN39" s="138"/>
      <c r="AO39" s="138"/>
      <c r="AP39" s="138"/>
      <c r="AQ39" s="395"/>
      <c r="AR39" s="482"/>
      <c r="AS39" s="138"/>
      <c r="AY39" s="42" t="n">
        <v>19</v>
      </c>
    </row>
    <row r="40" customFormat="false" ht="61.5" hidden="false" customHeight="true" outlineLevel="0" collapsed="false">
      <c r="A40" s="144"/>
      <c r="B40" s="144" t="s">
        <v>134</v>
      </c>
      <c r="C40" s="144" t="s">
        <v>135</v>
      </c>
      <c r="D40" s="144" t="s">
        <v>136</v>
      </c>
      <c r="E40" s="419" t="s">
        <v>434</v>
      </c>
      <c r="F40" s="419" t="s">
        <v>435</v>
      </c>
      <c r="G40" s="419" t="s">
        <v>436</v>
      </c>
      <c r="H40" s="419"/>
      <c r="I40" s="419" t="s">
        <v>487</v>
      </c>
      <c r="J40" s="419" t="s">
        <v>439</v>
      </c>
      <c r="K40" s="419" t="s">
        <v>488</v>
      </c>
      <c r="L40" s="419" t="s">
        <v>415</v>
      </c>
      <c r="Q40" s="470"/>
      <c r="R40" s="470"/>
      <c r="S40" s="422"/>
      <c r="T40" s="395"/>
      <c r="U40" s="485"/>
      <c r="V40" s="150"/>
      <c r="W40" s="607"/>
      <c r="X40" s="607" t="s">
        <v>535</v>
      </c>
      <c r="Y40" s="607" t="s">
        <v>536</v>
      </c>
      <c r="Z40" s="607"/>
      <c r="AA40" s="607" t="s">
        <v>537</v>
      </c>
      <c r="AB40" s="607" t="s">
        <v>538</v>
      </c>
      <c r="AC40" s="220" t="s">
        <v>443</v>
      </c>
      <c r="AD40" s="220" t="s">
        <v>444</v>
      </c>
      <c r="AE40" s="220"/>
      <c r="AF40" s="395"/>
      <c r="AG40" s="150"/>
      <c r="AH40" s="607"/>
      <c r="AI40" s="607" t="s">
        <v>535</v>
      </c>
      <c r="AJ40" s="607" t="s">
        <v>536</v>
      </c>
      <c r="AK40" s="607"/>
      <c r="AL40" s="607" t="s">
        <v>537</v>
      </c>
      <c r="AM40" s="607" t="s">
        <v>538</v>
      </c>
      <c r="AN40" s="220" t="s">
        <v>443</v>
      </c>
      <c r="AO40" s="220" t="s">
        <v>444</v>
      </c>
      <c r="AP40" s="220"/>
      <c r="AQ40" s="395"/>
      <c r="AR40" s="482"/>
      <c r="AS40" s="138"/>
      <c r="AY40" s="42" t="n">
        <v>59</v>
      </c>
    </row>
    <row r="41" s="124" customFormat="true" ht="11.25" hidden="true" customHeight="true" outlineLevel="0" collapsed="false">
      <c r="A41" s="144"/>
      <c r="B41" s="144"/>
      <c r="C41" s="144"/>
      <c r="D41" s="144"/>
      <c r="E41" s="144"/>
      <c r="F41" s="144"/>
      <c r="G41" s="144"/>
      <c r="H41" s="144"/>
      <c r="I41" s="144"/>
      <c r="J41" s="144"/>
      <c r="K41" s="144"/>
      <c r="L41" s="419"/>
      <c r="M41" s="53"/>
      <c r="N41" s="53"/>
      <c r="O41" s="53"/>
      <c r="P41" s="486"/>
      <c r="Q41" s="487"/>
      <c r="R41" s="488" t="n">
        <v>1</v>
      </c>
      <c r="S41" s="489" t="s">
        <v>107</v>
      </c>
      <c r="T41" s="490" t="s">
        <v>108</v>
      </c>
      <c r="U41" s="491" t="str">
        <f aca="true">OFFSET(U41,0,-1)</f>
        <v>2</v>
      </c>
      <c r="V41" s="492" t="n">
        <f aca="true">OFFSET(V41,0,-1)+1</f>
        <v>3</v>
      </c>
      <c r="W41" s="492"/>
      <c r="X41" s="492"/>
      <c r="Y41" s="492"/>
      <c r="Z41" s="492"/>
      <c r="AA41" s="492"/>
      <c r="AB41" s="492" t="n">
        <f aca="true">OFFSET(AB41,0,-1)+1</f>
        <v>1</v>
      </c>
      <c r="AC41" s="492" t="n">
        <f aca="true">OFFSET(AC41,0,-1)+1</f>
        <v>2</v>
      </c>
      <c r="AD41" s="492" t="n">
        <f aca="true">OFFSET(AD41,0,-1)+1</f>
        <v>3</v>
      </c>
      <c r="AE41" s="492"/>
      <c r="AF41" s="492" t="n">
        <f aca="true">OFFSET(AF41,0,-2)+1</f>
        <v>4</v>
      </c>
      <c r="AG41" s="492" t="n">
        <f aca="true">OFFSET(AG41,0,-1)+1</f>
        <v>5</v>
      </c>
      <c r="AH41" s="492"/>
      <c r="AI41" s="492"/>
      <c r="AJ41" s="492"/>
      <c r="AK41" s="492"/>
      <c r="AL41" s="492"/>
      <c r="AM41" s="492" t="n">
        <f aca="true">OFFSET(AM41,0,-1)+1</f>
        <v>1</v>
      </c>
      <c r="AN41" s="492" t="n">
        <f aca="true">OFFSET(AN41,0,-1)+1</f>
        <v>2</v>
      </c>
      <c r="AO41" s="492" t="n">
        <f aca="true">OFFSET(AO41,0,-1)+1</f>
        <v>3</v>
      </c>
      <c r="AP41" s="492"/>
      <c r="AQ41" s="492" t="n">
        <f aca="true">OFFSET(AQ41,0,-2)+1</f>
        <v>4</v>
      </c>
      <c r="AR41" s="491" t="n">
        <f aca="true">OFFSET(AR41,0,-1)</f>
        <v>4</v>
      </c>
      <c r="AS41" s="492" t="n">
        <f aca="true">OFFSET(AS41,0,-1)+1</f>
        <v>5</v>
      </c>
      <c r="AT41" s="49"/>
      <c r="AU41" s="49"/>
      <c r="AV41" s="49"/>
      <c r="AW41" s="49"/>
      <c r="AX41" s="49"/>
      <c r="AY41" s="124" t="n">
        <v>0</v>
      </c>
    </row>
    <row r="42" customFormat="false" ht="24" hidden="false" customHeight="true" outlineLevel="0" collapsed="false">
      <c r="A42" s="417" t="s">
        <v>253</v>
      </c>
      <c r="B42" s="417"/>
      <c r="C42" s="417"/>
      <c r="D42" s="417"/>
      <c r="E42" s="418" t="n">
        <v>1</v>
      </c>
      <c r="F42" s="417"/>
      <c r="G42" s="417"/>
      <c r="H42" s="417"/>
      <c r="I42" s="417"/>
      <c r="J42" s="417"/>
      <c r="K42" s="417"/>
      <c r="L42" s="419"/>
      <c r="M42" s="420"/>
      <c r="N42" s="420"/>
      <c r="O42" s="420"/>
      <c r="Q42" s="136"/>
      <c r="R42" s="421"/>
      <c r="S42" s="422" t="n">
        <f aca="false">INDEX(PT_DIFFERENTIATION_NUM_NTAR,MATCH(A42,PT_DIFFERENTIATION_NTAR_ID,0))</f>
        <v>0</v>
      </c>
      <c r="T42" s="423" t="s">
        <v>122</v>
      </c>
      <c r="U42" s="424"/>
      <c r="V42" s="425"/>
      <c r="W42" s="425"/>
      <c r="X42" s="425"/>
      <c r="Y42" s="425"/>
      <c r="Z42" s="425"/>
      <c r="AA42" s="425"/>
      <c r="AB42" s="425"/>
      <c r="AC42" s="425"/>
      <c r="AD42" s="425"/>
      <c r="AE42" s="425"/>
      <c r="AF42" s="425"/>
      <c r="AG42" s="426" t="str">
        <f aca="false">INDEX(PT_DIFFERENTIATION_NTAR,MATCH(A42,PT_DIFFERENTIATION_NTAR_ID,0))</f>
        <v/>
      </c>
      <c r="AH42" s="426"/>
      <c r="AI42" s="426"/>
      <c r="AJ42" s="426"/>
      <c r="AK42" s="426"/>
      <c r="AL42" s="426"/>
      <c r="AM42" s="426"/>
      <c r="AN42" s="426"/>
      <c r="AO42" s="426"/>
      <c r="AP42" s="426"/>
      <c r="AQ42" s="426"/>
      <c r="AR42" s="426"/>
      <c r="AS4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2"/>
      <c r="AV42" s="122" t="str">
        <f aca="false">IF(T42="","",T42)</f>
        <v>Наименование тарифа</v>
      </c>
      <c r="AW42" s="122"/>
      <c r="AX42" s="122"/>
      <c r="AY42" s="42" t="n">
        <v>23</v>
      </c>
    </row>
    <row r="43" customFormat="false" ht="24" hidden="false" customHeight="true" outlineLevel="0" collapsed="false">
      <c r="A43" s="417" t="s">
        <v>253</v>
      </c>
      <c r="B43" s="417" t="s">
        <v>254</v>
      </c>
      <c r="C43" s="417"/>
      <c r="D43" s="417"/>
      <c r="E43" s="418"/>
      <c r="F43" s="418" t="n">
        <v>1</v>
      </c>
      <c r="G43" s="417"/>
      <c r="H43" s="417"/>
      <c r="I43" s="417"/>
      <c r="J43" s="417"/>
      <c r="K43" s="417"/>
      <c r="L43" s="419"/>
      <c r="M43" s="420"/>
      <c r="N43" s="420"/>
      <c r="O43" s="420"/>
      <c r="P43" s="43"/>
      <c r="Q43" s="428"/>
      <c r="R43" s="429"/>
      <c r="S43" s="422" t="str">
        <f aca="false">INDEX(PT_DIFFERENTIATION_NUM_TER,MATCH(B43,PT_DIFFERENTIATION_TER_ID,0))</f>
        <v>.</v>
      </c>
      <c r="T43" s="430" t="s">
        <v>394</v>
      </c>
      <c r="U43" s="424"/>
      <c r="V43" s="425"/>
      <c r="W43" s="425"/>
      <c r="X43" s="425"/>
      <c r="Y43" s="425"/>
      <c r="Z43" s="425"/>
      <c r="AA43" s="425"/>
      <c r="AB43" s="425"/>
      <c r="AC43" s="425"/>
      <c r="AD43" s="425"/>
      <c r="AE43" s="425"/>
      <c r="AF43" s="425"/>
      <c r="AG43" s="426" t="str">
        <f aca="false">INDEX(PT_DIFFERENTIATION_TER,MATCH(B43,PT_DIFFERENTIATION_TER_ID,0))</f>
        <v/>
      </c>
      <c r="AH43" s="426"/>
      <c r="AI43" s="426"/>
      <c r="AJ43" s="426"/>
      <c r="AK43" s="426"/>
      <c r="AL43" s="426"/>
      <c r="AM43" s="426"/>
      <c r="AN43" s="426"/>
      <c r="AO43" s="426"/>
      <c r="AP43" s="426"/>
      <c r="AQ43" s="426"/>
      <c r="AR43" s="426"/>
      <c r="AS43" s="427" t="s">
        <v>395</v>
      </c>
      <c r="AU43" s="122"/>
      <c r="AV43" s="122" t="str">
        <f aca="false">IF(T43="","",T43)</f>
        <v>Территория действия тарифа</v>
      </c>
      <c r="AW43" s="122"/>
      <c r="AX43" s="122"/>
      <c r="AY43" s="42" t="n">
        <v>23</v>
      </c>
    </row>
    <row r="44" customFormat="false" ht="24" hidden="false" customHeight="true" outlineLevel="0" collapsed="false">
      <c r="A44" s="417" t="s">
        <v>253</v>
      </c>
      <c r="B44" s="417" t="s">
        <v>254</v>
      </c>
      <c r="C44" s="417" t="s">
        <v>255</v>
      </c>
      <c r="D44" s="417"/>
      <c r="E44" s="418"/>
      <c r="F44" s="418"/>
      <c r="G44" s="418" t="n">
        <v>1</v>
      </c>
      <c r="H44" s="417"/>
      <c r="I44" s="417"/>
      <c r="J44" s="417"/>
      <c r="K44" s="417"/>
      <c r="L44" s="419"/>
      <c r="M44" s="420"/>
      <c r="N44" s="420"/>
      <c r="O44" s="420"/>
      <c r="P44" s="431"/>
      <c r="Q44" s="428"/>
      <c r="R44" s="429"/>
      <c r="S44" s="422" t="str">
        <f aca="false">INDEX(PT_DIFFERENTIATION_NUM_CS,MATCH(C44,PT_DIFFERENTIATION_CS_ID,0))</f>
        <v>..</v>
      </c>
      <c r="T44" s="432" t="s">
        <v>527</v>
      </c>
      <c r="U44" s="424"/>
      <c r="V44" s="425"/>
      <c r="W44" s="425"/>
      <c r="X44" s="425"/>
      <c r="Y44" s="425"/>
      <c r="Z44" s="425"/>
      <c r="AA44" s="425"/>
      <c r="AB44" s="425"/>
      <c r="AC44" s="425"/>
      <c r="AD44" s="425"/>
      <c r="AE44" s="425"/>
      <c r="AF44" s="425"/>
      <c r="AG44" s="426" t="str">
        <f aca="false">INDEX(PT_DIFFERENTIATION_CS,MATCH(C44,PT_DIFFERENTIATION_CS_ID,0))</f>
        <v/>
      </c>
      <c r="AH44" s="426"/>
      <c r="AI44" s="426"/>
      <c r="AJ44" s="426"/>
      <c r="AK44" s="426"/>
      <c r="AL44" s="426"/>
      <c r="AM44" s="426"/>
      <c r="AN44" s="426"/>
      <c r="AO44" s="426"/>
      <c r="AP44" s="426"/>
      <c r="AQ44" s="426"/>
      <c r="AR44" s="426"/>
      <c r="AS44" s="427" t="s">
        <v>528</v>
      </c>
      <c r="AU44" s="122"/>
      <c r="AV44" s="122" t="str">
        <f aca="false">IF(T44="","",T44)</f>
        <v>Наименование централизованной системы горячего водоснабжения</v>
      </c>
      <c r="AW44" s="122"/>
      <c r="AX44" s="122"/>
      <c r="AY44" s="42" t="n">
        <v>23</v>
      </c>
    </row>
    <row r="45" customFormat="false" ht="24" hidden="false" customHeight="true" outlineLevel="0" collapsed="false">
      <c r="A45" s="417" t="s">
        <v>253</v>
      </c>
      <c r="B45" s="417" t="s">
        <v>254</v>
      </c>
      <c r="C45" s="417" t="s">
        <v>255</v>
      </c>
      <c r="D45" s="417" t="s">
        <v>540</v>
      </c>
      <c r="E45" s="418"/>
      <c r="F45" s="418"/>
      <c r="G45" s="418"/>
      <c r="H45" s="580"/>
      <c r="I45" s="434" t="str">
        <f aca="false">S44&amp;".1"</f>
        <v>...1</v>
      </c>
      <c r="J45" s="417"/>
      <c r="K45" s="417"/>
      <c r="L45" s="419"/>
      <c r="P45" s="125" t="n">
        <v>1</v>
      </c>
      <c r="Q45" s="125"/>
      <c r="R45" s="435"/>
      <c r="S45" s="422" t="str">
        <f aca="false">$I45</f>
        <v>...1</v>
      </c>
      <c r="T45" s="436" t="s">
        <v>480</v>
      </c>
      <c r="U45" s="424"/>
      <c r="V45" s="581"/>
      <c r="W45" s="581"/>
      <c r="X45" s="581"/>
      <c r="Y45" s="581"/>
      <c r="Z45" s="581"/>
      <c r="AA45" s="581"/>
      <c r="AB45" s="581"/>
      <c r="AC45" s="581"/>
      <c r="AD45" s="581"/>
      <c r="AE45" s="581"/>
      <c r="AF45" s="581"/>
      <c r="AG45" s="333"/>
      <c r="AH45" s="333"/>
      <c r="AI45" s="333"/>
      <c r="AJ45" s="333"/>
      <c r="AK45" s="333"/>
      <c r="AL45" s="333"/>
      <c r="AM45" s="333"/>
      <c r="AN45" s="333"/>
      <c r="AO45" s="333"/>
      <c r="AP45" s="333"/>
      <c r="AQ45" s="333"/>
      <c r="AR45" s="333"/>
      <c r="AS45" s="427" t="s">
        <v>481</v>
      </c>
      <c r="AU45" s="122"/>
      <c r="AV45" s="122" t="str">
        <f aca="false">IF(T45="","",T45)</f>
        <v>Наименование признака дифференциации</v>
      </c>
      <c r="AW45" s="122"/>
      <c r="AX45" s="122"/>
      <c r="AY45" s="42" t="n">
        <v>23</v>
      </c>
    </row>
    <row r="46" customFormat="false" ht="24" hidden="false" customHeight="true" outlineLevel="0" collapsed="false">
      <c r="A46" s="417" t="s">
        <v>253</v>
      </c>
      <c r="B46" s="417" t="s">
        <v>254</v>
      </c>
      <c r="C46" s="417" t="s">
        <v>255</v>
      </c>
      <c r="D46" s="417" t="s">
        <v>540</v>
      </c>
      <c r="E46" s="418"/>
      <c r="F46" s="418"/>
      <c r="G46" s="418"/>
      <c r="H46" s="418"/>
      <c r="I46" s="434"/>
      <c r="J46" s="434" t="str">
        <f aca="false">I45&amp;".1"</f>
        <v>...1.1</v>
      </c>
      <c r="K46" s="417"/>
      <c r="L46" s="419" t="s">
        <v>403</v>
      </c>
      <c r="P46" s="125"/>
      <c r="Q46" s="125" t="n">
        <v>1</v>
      </c>
      <c r="R46" s="438"/>
      <c r="S46" s="422" t="str">
        <f aca="false">$J46</f>
        <v>...1.1</v>
      </c>
      <c r="T46" s="439" t="s">
        <v>404</v>
      </c>
      <c r="U46" s="424"/>
      <c r="V46" s="437"/>
      <c r="W46" s="437"/>
      <c r="X46" s="437"/>
      <c r="Y46" s="437"/>
      <c r="Z46" s="437"/>
      <c r="AA46" s="437"/>
      <c r="AB46" s="437"/>
      <c r="AC46" s="437"/>
      <c r="AD46" s="437"/>
      <c r="AE46" s="437"/>
      <c r="AF46" s="437"/>
      <c r="AG46" s="437"/>
      <c r="AH46" s="437"/>
      <c r="AI46" s="437"/>
      <c r="AJ46" s="437"/>
      <c r="AK46" s="437"/>
      <c r="AL46" s="437"/>
      <c r="AM46" s="437"/>
      <c r="AN46" s="437"/>
      <c r="AO46" s="437"/>
      <c r="AP46" s="437"/>
      <c r="AQ46" s="437"/>
      <c r="AR46" s="437"/>
      <c r="AS46" s="532" t="s">
        <v>482</v>
      </c>
      <c r="AU46" s="122"/>
      <c r="AV46" s="122" t="str">
        <f aca="false">IF(T46="","",T46)</f>
        <v>Группа потребителей</v>
      </c>
      <c r="AW46" s="122"/>
      <c r="AX46" s="122"/>
      <c r="AY46" s="42" t="n">
        <v>23</v>
      </c>
    </row>
    <row r="47" customFormat="false" ht="24" hidden="false" customHeight="true" outlineLevel="0" collapsed="false">
      <c r="A47" s="417" t="s">
        <v>253</v>
      </c>
      <c r="B47" s="417" t="s">
        <v>254</v>
      </c>
      <c r="C47" s="417" t="s">
        <v>255</v>
      </c>
      <c r="D47" s="417" t="s">
        <v>540</v>
      </c>
      <c r="E47" s="418"/>
      <c r="F47" s="418"/>
      <c r="G47" s="418"/>
      <c r="H47" s="418"/>
      <c r="I47" s="434"/>
      <c r="J47" s="434"/>
      <c r="K47" s="434" t="str">
        <f aca="false">J46&amp;".1"</f>
        <v>...1.1.1</v>
      </c>
      <c r="L47" s="419"/>
      <c r="P47" s="125"/>
      <c r="Q47" s="125"/>
      <c r="R47" s="438" t="n">
        <v>1</v>
      </c>
      <c r="S47" s="422" t="str">
        <f aca="false">$K47</f>
        <v>...1.1.1</v>
      </c>
      <c r="T47" s="582"/>
      <c r="U47" s="424"/>
      <c r="V47" s="464"/>
      <c r="W47" s="464"/>
      <c r="X47" s="464"/>
      <c r="Y47" s="464"/>
      <c r="Z47" s="464"/>
      <c r="AA47" s="464"/>
      <c r="AB47" s="465"/>
      <c r="AC47" s="466"/>
      <c r="AD47" s="467" t="s">
        <v>64</v>
      </c>
      <c r="AE47" s="466"/>
      <c r="AF47" s="467" t="s">
        <v>64</v>
      </c>
      <c r="AG47" s="441"/>
      <c r="AH47" s="441"/>
      <c r="AI47" s="441"/>
      <c r="AJ47" s="441"/>
      <c r="AK47" s="441"/>
      <c r="AL47" s="441"/>
      <c r="AM47" s="443"/>
      <c r="AN47" s="444"/>
      <c r="AO47" s="206" t="s">
        <v>64</v>
      </c>
      <c r="AP47" s="444"/>
      <c r="AQ47" s="206" t="s">
        <v>19</v>
      </c>
      <c r="AR47" s="583"/>
      <c r="AS47" s="44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9" t="e">
        <f aca="false">strcheckdate(V48:AR48)</f>
        <v>#NAME?</v>
      </c>
      <c r="AU47" s="122"/>
      <c r="AV47" s="122" t="str">
        <f aca="false">IF(T47="","",T47)</f>
        <v/>
      </c>
      <c r="AW47" s="122"/>
      <c r="AX47" s="122"/>
      <c r="AY47" s="42" t="n">
        <v>23</v>
      </c>
    </row>
    <row r="48" customFormat="false" ht="14.35" hidden="false" customHeight="false" outlineLevel="0" collapsed="false">
      <c r="A48" s="417" t="s">
        <v>253</v>
      </c>
      <c r="B48" s="417" t="s">
        <v>254</v>
      </c>
      <c r="C48" s="417" t="s">
        <v>255</v>
      </c>
      <c r="D48" s="417" t="s">
        <v>540</v>
      </c>
      <c r="E48" s="418"/>
      <c r="F48" s="418"/>
      <c r="G48" s="418"/>
      <c r="H48" s="418"/>
      <c r="I48" s="434"/>
      <c r="J48" s="434"/>
      <c r="K48" s="434"/>
      <c r="L48" s="419"/>
      <c r="P48" s="125"/>
      <c r="Q48" s="125"/>
      <c r="R48" s="438"/>
      <c r="S48" s="397"/>
      <c r="T48" s="424"/>
      <c r="U48" s="424"/>
      <c r="V48" s="464"/>
      <c r="W48" s="464"/>
      <c r="X48" s="464"/>
      <c r="Y48" s="464"/>
      <c r="Z48" s="464"/>
      <c r="AA48" s="464"/>
      <c r="AB48" s="446" t="str">
        <f aca="false">AC47&amp;"-"&amp;AE47</f>
        <v>-</v>
      </c>
      <c r="AC48" s="466"/>
      <c r="AD48" s="466"/>
      <c r="AE48" s="466"/>
      <c r="AF48" s="466"/>
      <c r="AG48" s="442"/>
      <c r="AH48" s="442"/>
      <c r="AI48" s="442"/>
      <c r="AJ48" s="442"/>
      <c r="AK48" s="442"/>
      <c r="AL48" s="442"/>
      <c r="AM48" s="446" t="str">
        <f aca="false">AN47&amp;"-"&amp;AP47</f>
        <v>-</v>
      </c>
      <c r="AN48" s="444"/>
      <c r="AO48" s="206"/>
      <c r="AP48" s="444"/>
      <c r="AQ48" s="206"/>
      <c r="AR48" s="585"/>
      <c r="AS48" s="445"/>
      <c r="AU48" s="122"/>
      <c r="AV48" s="122" t="str">
        <f aca="false">IF(T48="","",T48)</f>
        <v/>
      </c>
      <c r="AW48" s="122"/>
      <c r="AX48" s="122"/>
      <c r="AY48" s="42" t="n">
        <v>0</v>
      </c>
    </row>
    <row r="49" customFormat="false" ht="21" hidden="false" customHeight="true" outlineLevel="0" collapsed="false">
      <c r="A49" s="417" t="s">
        <v>253</v>
      </c>
      <c r="B49" s="417" t="s">
        <v>254</v>
      </c>
      <c r="C49" s="417" t="s">
        <v>255</v>
      </c>
      <c r="D49" s="417" t="s">
        <v>540</v>
      </c>
      <c r="E49" s="418"/>
      <c r="F49" s="418"/>
      <c r="G49" s="418"/>
      <c r="H49" s="418"/>
      <c r="I49" s="434"/>
      <c r="J49" s="434"/>
      <c r="K49" s="417"/>
      <c r="L49" s="419"/>
      <c r="P49" s="125"/>
      <c r="Q49" s="125"/>
      <c r="R49" s="435"/>
      <c r="S49" s="447"/>
      <c r="T49" s="450" t="s">
        <v>483</v>
      </c>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427" t="s">
        <v>484</v>
      </c>
      <c r="AU49" s="122"/>
      <c r="AV49" s="122" t="str">
        <f aca="false">IF(T49="","",T49)</f>
        <v>Добавить значение признака дифференциации</v>
      </c>
      <c r="AW49" s="122"/>
      <c r="AX49" s="122"/>
      <c r="AY49" s="42" t="n">
        <v>20</v>
      </c>
    </row>
    <row r="50" customFormat="false" ht="21.75" hidden="false" customHeight="true" outlineLevel="0" collapsed="false">
      <c r="A50" s="417" t="s">
        <v>253</v>
      </c>
      <c r="B50" s="417" t="s">
        <v>254</v>
      </c>
      <c r="C50" s="417" t="s">
        <v>255</v>
      </c>
      <c r="D50" s="417" t="s">
        <v>540</v>
      </c>
      <c r="E50" s="418"/>
      <c r="F50" s="418"/>
      <c r="G50" s="418"/>
      <c r="H50" s="418"/>
      <c r="I50" s="434"/>
      <c r="J50" s="417"/>
      <c r="K50" s="417"/>
      <c r="L50" s="419"/>
      <c r="P50" s="125"/>
      <c r="Q50" s="125"/>
      <c r="R50" s="435"/>
      <c r="S50" s="447"/>
      <c r="T50" s="454" t="s">
        <v>409</v>
      </c>
      <c r="U50" s="196"/>
      <c r="V50" s="196"/>
      <c r="W50" s="196"/>
      <c r="X50" s="196"/>
      <c r="Y50" s="196"/>
      <c r="Z50" s="196"/>
      <c r="AA50" s="196"/>
      <c r="AB50" s="196"/>
      <c r="AC50" s="196"/>
      <c r="AD50" s="196"/>
      <c r="AE50" s="196"/>
      <c r="AF50" s="451"/>
      <c r="AG50" s="196"/>
      <c r="AH50" s="196"/>
      <c r="AI50" s="196"/>
      <c r="AJ50" s="196"/>
      <c r="AK50" s="196"/>
      <c r="AL50" s="196"/>
      <c r="AM50" s="196"/>
      <c r="AN50" s="196"/>
      <c r="AO50" s="196"/>
      <c r="AP50" s="196"/>
      <c r="AQ50" s="451"/>
      <c r="AR50" s="196"/>
      <c r="AS50" s="586"/>
      <c r="AU50" s="122"/>
      <c r="AV50" s="122" t="str">
        <f aca="false">IF(T50="","",T50)</f>
        <v>Добавить группу потребителей</v>
      </c>
      <c r="AW50" s="122"/>
      <c r="AX50" s="122"/>
      <c r="AY50" s="42" t="n">
        <v>21</v>
      </c>
    </row>
    <row r="51" customFormat="false" ht="21.75" hidden="false" customHeight="true" outlineLevel="0" collapsed="false">
      <c r="A51" s="417" t="s">
        <v>253</v>
      </c>
      <c r="B51" s="417" t="s">
        <v>254</v>
      </c>
      <c r="C51" s="417" t="s">
        <v>255</v>
      </c>
      <c r="D51" s="417" t="s">
        <v>540</v>
      </c>
      <c r="E51" s="418"/>
      <c r="F51" s="418"/>
      <c r="G51" s="418"/>
      <c r="H51" s="580"/>
      <c r="I51" s="417"/>
      <c r="J51" s="417"/>
      <c r="K51" s="417"/>
      <c r="L51" s="419"/>
      <c r="M51" s="420"/>
      <c r="N51" s="420"/>
      <c r="O51" s="45"/>
      <c r="P51" s="136"/>
      <c r="Q51" s="453"/>
      <c r="R51" s="421"/>
      <c r="S51" s="447"/>
      <c r="T51" s="587" t="s">
        <v>485</v>
      </c>
      <c r="U51" s="196"/>
      <c r="V51" s="196"/>
      <c r="W51" s="196"/>
      <c r="X51" s="196"/>
      <c r="Y51" s="196"/>
      <c r="Z51" s="196"/>
      <c r="AA51" s="196"/>
      <c r="AB51" s="196"/>
      <c r="AC51" s="196"/>
      <c r="AD51" s="196"/>
      <c r="AE51" s="196"/>
      <c r="AF51" s="451"/>
      <c r="AG51" s="196"/>
      <c r="AH51" s="196"/>
      <c r="AI51" s="196"/>
      <c r="AJ51" s="196"/>
      <c r="AK51" s="196"/>
      <c r="AL51" s="196"/>
      <c r="AM51" s="196"/>
      <c r="AN51" s="196"/>
      <c r="AO51" s="196"/>
      <c r="AP51" s="196"/>
      <c r="AQ51" s="451"/>
      <c r="AR51" s="196"/>
      <c r="AS51" s="452"/>
      <c r="AU51" s="122"/>
      <c r="AV51" s="122" t="str">
        <f aca="false">IF(T51="","",T51)</f>
        <v>Добавить наименование признака дифференциации</v>
      </c>
      <c r="AW51" s="122"/>
      <c r="AX51" s="122"/>
      <c r="AY51" s="42" t="n">
        <v>21</v>
      </c>
    </row>
    <row r="52" s="49" customFormat="true" ht="14.35" hidden="false" customHeight="false" outlineLevel="0" collapsed="false">
      <c r="A52" s="126" t="s">
        <v>253</v>
      </c>
      <c r="B52" s="126" t="s">
        <v>254</v>
      </c>
      <c r="C52" s="126"/>
      <c r="D52" s="126"/>
      <c r="E52" s="418"/>
      <c r="F52" s="418"/>
      <c r="G52" s="126"/>
      <c r="H52" s="126"/>
      <c r="I52" s="126"/>
      <c r="J52" s="126"/>
      <c r="K52" s="126"/>
      <c r="L52" s="194"/>
      <c r="M52" s="459"/>
      <c r="N52" s="459"/>
      <c r="P52" s="160"/>
      <c r="Q52" s="455"/>
      <c r="R52" s="160"/>
      <c r="S52" s="460"/>
      <c r="T52" s="463" t="s">
        <v>412</v>
      </c>
      <c r="U52" s="462"/>
      <c r="V52" s="462"/>
      <c r="W52" s="462"/>
      <c r="X52" s="462"/>
      <c r="Y52" s="462"/>
      <c r="Z52" s="462"/>
      <c r="AA52" s="462"/>
      <c r="AB52" s="462"/>
      <c r="AC52" s="462"/>
      <c r="AD52" s="462"/>
      <c r="AE52" s="462"/>
      <c r="AF52" s="462"/>
      <c r="AG52" s="462"/>
      <c r="AH52" s="462"/>
      <c r="AI52" s="462"/>
      <c r="AJ52" s="462"/>
      <c r="AK52" s="462"/>
      <c r="AL52" s="462"/>
      <c r="AM52" s="462"/>
      <c r="AN52" s="462"/>
      <c r="AO52" s="462"/>
      <c r="AP52" s="462"/>
      <c r="AQ52" s="462"/>
      <c r="AR52" s="462"/>
      <c r="AS52" s="462"/>
      <c r="AU52" s="122"/>
      <c r="AV52" s="122" t="str">
        <f aca="false">IF(T52="","",T52)</f>
        <v>Добавить централизованную систему для дифференциации</v>
      </c>
      <c r="AW52" s="122"/>
      <c r="AX52" s="122"/>
      <c r="AY52" s="49" t="n">
        <v>0</v>
      </c>
    </row>
    <row r="53" s="49" customFormat="true" ht="14.35" hidden="false" customHeight="false" outlineLevel="0" collapsed="false">
      <c r="A53" s="126" t="s">
        <v>253</v>
      </c>
      <c r="B53" s="126"/>
      <c r="C53" s="126"/>
      <c r="D53" s="126"/>
      <c r="E53" s="418"/>
      <c r="F53" s="126"/>
      <c r="G53" s="126"/>
      <c r="H53" s="126"/>
      <c r="I53" s="126"/>
      <c r="J53" s="126"/>
      <c r="K53" s="126"/>
      <c r="L53" s="194"/>
      <c r="M53" s="459"/>
      <c r="N53" s="459"/>
      <c r="P53" s="160"/>
      <c r="Q53" s="455"/>
      <c r="R53" s="160"/>
      <c r="S53" s="460"/>
      <c r="T53" s="463" t="s">
        <v>413</v>
      </c>
      <c r="U53" s="462"/>
      <c r="V53" s="462"/>
      <c r="W53" s="462"/>
      <c r="X53" s="462"/>
      <c r="Y53" s="462"/>
      <c r="Z53" s="462"/>
      <c r="AA53" s="462"/>
      <c r="AB53" s="462"/>
      <c r="AC53" s="462"/>
      <c r="AD53" s="462"/>
      <c r="AE53" s="462"/>
      <c r="AF53" s="462"/>
      <c r="AG53" s="462"/>
      <c r="AH53" s="462"/>
      <c r="AI53" s="462"/>
      <c r="AJ53" s="462"/>
      <c r="AK53" s="462"/>
      <c r="AL53" s="462"/>
      <c r="AM53" s="462"/>
      <c r="AN53" s="462"/>
      <c r="AO53" s="462"/>
      <c r="AP53" s="462"/>
      <c r="AQ53" s="462"/>
      <c r="AR53" s="462"/>
      <c r="AS53" s="462"/>
      <c r="AU53" s="122"/>
      <c r="AV53" s="122" t="str">
        <f aca="false">IF(T53="","",T53)</f>
        <v>Добавить территорию для дифференциации</v>
      </c>
      <c r="AW53" s="122"/>
      <c r="AX53" s="122"/>
      <c r="AY53" s="49" t="n">
        <v>0</v>
      </c>
    </row>
    <row r="54" s="49" customFormat="true" ht="14.35" hidden="false" customHeight="false" outlineLevel="0" collapsed="false">
      <c r="A54" s="126"/>
      <c r="B54" s="126"/>
      <c r="C54" s="126"/>
      <c r="D54" s="126"/>
      <c r="E54" s="126"/>
      <c r="F54" s="126"/>
      <c r="G54" s="126"/>
      <c r="H54" s="126"/>
      <c r="I54" s="126"/>
      <c r="J54" s="126"/>
      <c r="K54" s="126"/>
      <c r="L54" s="194"/>
      <c r="M54" s="459"/>
      <c r="N54" s="459"/>
      <c r="P54" s="160"/>
      <c r="Q54" s="455"/>
      <c r="R54" s="160"/>
      <c r="S54" s="460"/>
      <c r="T54" s="463" t="s">
        <v>445</v>
      </c>
      <c r="U54" s="462"/>
      <c r="V54" s="462"/>
      <c r="W54" s="462"/>
      <c r="X54" s="462"/>
      <c r="Y54" s="462"/>
      <c r="Z54" s="462"/>
      <c r="AA54" s="462"/>
      <c r="AB54" s="462"/>
      <c r="AC54" s="462"/>
      <c r="AD54" s="462"/>
      <c r="AE54" s="462"/>
      <c r="AF54" s="462"/>
      <c r="AG54" s="462"/>
      <c r="AH54" s="462"/>
      <c r="AI54" s="462"/>
      <c r="AJ54" s="462"/>
      <c r="AK54" s="462"/>
      <c r="AL54" s="462"/>
      <c r="AM54" s="462"/>
      <c r="AN54" s="462"/>
      <c r="AO54" s="462"/>
      <c r="AP54" s="462"/>
      <c r="AQ54" s="462"/>
      <c r="AR54" s="462"/>
      <c r="AS54" s="462"/>
      <c r="AU54" s="122"/>
      <c r="AV54" s="122" t="str">
        <f aca="false">IF(T54="","",T54)</f>
        <v>Добавить наименование тарифа</v>
      </c>
      <c r="AW54" s="122"/>
      <c r="AX54" s="122"/>
      <c r="AY54" s="49" t="n">
        <v>0</v>
      </c>
    </row>
    <row r="55" customFormat="false" ht="11.25" hidden="false" customHeight="true" outlineLevel="0" collapsed="false">
      <c r="M55" s="45"/>
      <c r="N55" s="45"/>
      <c r="O55" s="45"/>
      <c r="P55" s="42"/>
      <c r="Q55" s="42"/>
      <c r="R55" s="42"/>
      <c r="S55" s="42"/>
      <c r="AT55" s="42"/>
      <c r="AU55" s="42"/>
      <c r="AV55" s="42"/>
      <c r="AW55" s="42"/>
      <c r="AX55" s="42"/>
      <c r="AY55" s="42" t="n">
        <v>11</v>
      </c>
    </row>
    <row r="56" customFormat="false" ht="14.25" hidden="false" customHeight="true" outlineLevel="0" collapsed="false">
      <c r="O56" s="45"/>
      <c r="S56" s="414"/>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Y56" s="42" t="n">
        <v>14</v>
      </c>
    </row>
    <row r="57" customFormat="false" ht="14.25" hidden="false" customHeight="true" outlineLevel="0" collapsed="false">
      <c r="O57" s="45"/>
      <c r="AY57" s="42" t="n">
        <v>14</v>
      </c>
    </row>
    <row r="58" customFormat="false" ht="14.25" hidden="false" customHeight="true" outlineLevel="0" collapsed="false">
      <c r="O58" s="45"/>
      <c r="S58" s="414"/>
      <c r="T58" s="495"/>
      <c r="U58" s="495"/>
      <c r="V58" s="495"/>
      <c r="W58" s="495"/>
      <c r="X58" s="495"/>
      <c r="Y58" s="495"/>
      <c r="Z58" s="495"/>
      <c r="AA58" s="495"/>
      <c r="AB58" s="495"/>
      <c r="AC58" s="495"/>
      <c r="AD58" s="495"/>
      <c r="AE58" s="495"/>
      <c r="AF58" s="495"/>
      <c r="AG58" s="495"/>
      <c r="AH58" s="495"/>
      <c r="AI58" s="495"/>
      <c r="AJ58" s="495"/>
      <c r="AK58" s="495"/>
      <c r="AL58" s="495"/>
      <c r="AM58" s="495"/>
      <c r="AN58" s="495"/>
      <c r="AO58" s="495"/>
      <c r="AP58" s="495"/>
      <c r="AQ58" s="495"/>
      <c r="AR58" s="495"/>
      <c r="AS58" s="495"/>
      <c r="AY58" s="42" t="n">
        <v>14</v>
      </c>
    </row>
    <row r="59" customFormat="false" ht="22.5" hidden="true" customHeight="true" outlineLevel="0" collapsed="false">
      <c r="A59" s="45" t="s">
        <v>80</v>
      </c>
      <c r="B59" s="45" t="n">
        <v>0</v>
      </c>
      <c r="C59" s="45" t="n">
        <v>0</v>
      </c>
      <c r="D59" s="45" t="n">
        <v>0</v>
      </c>
      <c r="E59" s="45" t="n">
        <v>0</v>
      </c>
      <c r="F59" s="45" t="n">
        <v>0</v>
      </c>
      <c r="G59" s="45" t="n">
        <v>0</v>
      </c>
      <c r="H59" s="45" t="n">
        <v>0</v>
      </c>
      <c r="I59" s="45" t="n">
        <v>0</v>
      </c>
      <c r="J59" s="45" t="n">
        <v>0</v>
      </c>
      <c r="K59" s="45" t="n">
        <v>0</v>
      </c>
      <c r="L59" s="107" t="n">
        <v>0</v>
      </c>
      <c r="M59" s="53" t="n">
        <v>0</v>
      </c>
      <c r="N59" s="53" t="n">
        <v>0</v>
      </c>
      <c r="O59" s="53" t="n">
        <v>0</v>
      </c>
      <c r="P59" s="52" t="n">
        <v>3</v>
      </c>
      <c r="Q59" s="416" t="n">
        <v>3</v>
      </c>
      <c r="R59" s="416" t="n">
        <v>3</v>
      </c>
      <c r="S59" s="77" t="n">
        <v>12</v>
      </c>
      <c r="T59" s="42" t="n">
        <v>35</v>
      </c>
      <c r="U59" s="42" t="n">
        <v>0</v>
      </c>
      <c r="V59" s="42" t="n">
        <v>0</v>
      </c>
      <c r="W59" s="42" t="n">
        <v>0</v>
      </c>
      <c r="X59" s="42" t="n">
        <v>0</v>
      </c>
      <c r="Y59" s="42" t="n">
        <v>0</v>
      </c>
      <c r="Z59" s="42" t="n">
        <v>0</v>
      </c>
      <c r="AA59" s="42" t="n">
        <v>0</v>
      </c>
      <c r="AB59" s="42" t="n">
        <v>0</v>
      </c>
      <c r="AC59" s="42" t="n">
        <v>0</v>
      </c>
      <c r="AD59" s="42" t="n">
        <v>0</v>
      </c>
      <c r="AE59" s="42" t="n">
        <v>0</v>
      </c>
      <c r="AF59" s="42" t="n">
        <v>0</v>
      </c>
      <c r="AG59" s="42" t="n">
        <v>19</v>
      </c>
      <c r="AH59" s="42" t="n">
        <v>19</v>
      </c>
      <c r="AI59" s="42" t="n">
        <v>19</v>
      </c>
      <c r="AJ59" s="42" t="n">
        <v>19</v>
      </c>
      <c r="AK59" s="42" t="n">
        <v>19</v>
      </c>
      <c r="AL59" s="42" t="n">
        <v>19</v>
      </c>
      <c r="AM59" s="42" t="n">
        <v>19</v>
      </c>
      <c r="AN59" s="42" t="n">
        <v>11</v>
      </c>
      <c r="AO59" s="42" t="n">
        <v>3</v>
      </c>
      <c r="AP59" s="42" t="n">
        <v>11</v>
      </c>
      <c r="AQ59" s="42" t="n">
        <v>0</v>
      </c>
      <c r="AR59" s="42" t="n">
        <v>4</v>
      </c>
      <c r="AS59" s="42" t="n">
        <v>115</v>
      </c>
      <c r="AT59" s="49" t="n">
        <v>10</v>
      </c>
      <c r="AU59" s="49" t="n">
        <v>10</v>
      </c>
      <c r="AV59" s="49" t="n">
        <v>10</v>
      </c>
      <c r="AW59" s="49" t="n">
        <v>10</v>
      </c>
      <c r="AX59" s="49" t="n">
        <v>10</v>
      </c>
      <c r="AY59" s="42"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 allowBlank="true" errorStyle="stop" operator="between" promptTitle="checkPeriodRange" showDropDown="false" showErrorMessage="false" showInputMessage="false" sqref="AB8 AM8 AM16 AB48 AM48"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7"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9" width="3.71"/>
    <col collapsed="false" customWidth="true" hidden="false" outlineLevel="0" max="18" min="18" style="416" width="3"/>
    <col collapsed="false" customWidth="true" hidden="false" outlineLevel="0" max="19" min="19" style="77" width="12"/>
    <col collapsed="false" customWidth="true" hidden="false" outlineLevel="0" max="20" min="20" style="42" width="31"/>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9"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7"/>
      <c r="B2" s="417"/>
      <c r="C2" s="417"/>
      <c r="D2" s="417"/>
      <c r="E2" s="418" t="n">
        <v>1</v>
      </c>
      <c r="F2" s="417"/>
      <c r="G2" s="417"/>
      <c r="H2" s="417"/>
      <c r="I2" s="417"/>
      <c r="J2" s="417"/>
      <c r="K2" s="417"/>
      <c r="L2" s="419"/>
      <c r="M2" s="420"/>
      <c r="N2" s="420"/>
      <c r="O2" s="420"/>
      <c r="Q2" s="56"/>
      <c r="R2" s="421"/>
      <c r="S2" s="422" t="e">
        <f aca="false">INDEX(PT_DIFFERENTIATION_NUM_NTAR,MATCH(A2,PT_DIFFERENTIATION_NTAR_ID,0))</f>
        <v>#N/A</v>
      </c>
      <c r="T2" s="423" t="s">
        <v>122</v>
      </c>
      <c r="U2" s="424"/>
      <c r="V2" s="591"/>
      <c r="W2" s="591"/>
      <c r="X2" s="591"/>
      <c r="Y2" s="591"/>
      <c r="Z2" s="591"/>
      <c r="AA2" s="591"/>
      <c r="AB2" s="591"/>
      <c r="AC2" s="591"/>
      <c r="AD2" s="426" t="e">
        <f aca="false">INDEX(PT_DIFFERENTIATION_NTAR,MATCH(A2,PT_DIFFERENTIATION_NTAR_ID,0))</f>
        <v>#N/A</v>
      </c>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2"/>
      <c r="BF2" s="122" t="str">
        <f aca="false">IF(T2="","",T2)</f>
        <v>Наименование тарифа</v>
      </c>
      <c r="BG2" s="122"/>
      <c r="BH2" s="122"/>
      <c r="BI2" s="42" t="n">
        <v>0</v>
      </c>
    </row>
    <row r="3" customFormat="false" ht="21" hidden="true" customHeight="true" outlineLevel="0" collapsed="false">
      <c r="A3" s="417"/>
      <c r="B3" s="417"/>
      <c r="C3" s="417"/>
      <c r="D3" s="417"/>
      <c r="E3" s="418"/>
      <c r="F3" s="418" t="n">
        <v>1</v>
      </c>
      <c r="G3" s="417"/>
      <c r="H3" s="417"/>
      <c r="I3" s="417"/>
      <c r="J3" s="417"/>
      <c r="K3" s="417"/>
      <c r="L3" s="419"/>
      <c r="M3" s="420"/>
      <c r="N3" s="420"/>
      <c r="O3" s="420"/>
      <c r="P3" s="107"/>
      <c r="Q3" s="542"/>
      <c r="R3" s="429"/>
      <c r="S3" s="422" t="e">
        <f aca="false">INDEX(PT_DIFFERENTIATION_NUM_TER,MATCH(B3,PT_DIFFERENTIATION_TER_ID,0))</f>
        <v>#N/A</v>
      </c>
      <c r="T3" s="430" t="s">
        <v>394</v>
      </c>
      <c r="U3" s="424"/>
      <c r="V3" s="591"/>
      <c r="W3" s="591"/>
      <c r="X3" s="591"/>
      <c r="Y3" s="591"/>
      <c r="Z3" s="591"/>
      <c r="AA3" s="591"/>
      <c r="AB3" s="591"/>
      <c r="AC3" s="591"/>
      <c r="AD3" s="426" t="e">
        <f aca="false">INDEX(PT_DIFFERENTIATION_TER,MATCH(B3,PT_DIFFERENTIATION_TER_ID,0))</f>
        <v>#N/A</v>
      </c>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7" t="s">
        <v>395</v>
      </c>
      <c r="BE3" s="122"/>
      <c r="BF3" s="122" t="str">
        <f aca="false">IF(T3="","",T3)</f>
        <v>Территория действия тарифа</v>
      </c>
      <c r="BG3" s="122"/>
      <c r="BH3" s="122"/>
      <c r="BI3" s="42" t="n">
        <v>0</v>
      </c>
    </row>
    <row r="4" customFormat="false" ht="33.75" hidden="true" customHeight="true" outlineLevel="0" collapsed="false">
      <c r="A4" s="417"/>
      <c r="B4" s="417"/>
      <c r="C4" s="417"/>
      <c r="D4" s="417"/>
      <c r="E4" s="418"/>
      <c r="F4" s="418"/>
      <c r="G4" s="418" t="n">
        <v>1</v>
      </c>
      <c r="H4" s="417"/>
      <c r="I4" s="417"/>
      <c r="J4" s="417"/>
      <c r="K4" s="417"/>
      <c r="L4" s="419"/>
      <c r="M4" s="420"/>
      <c r="N4" s="420"/>
      <c r="O4" s="420"/>
      <c r="P4" s="131"/>
      <c r="Q4" s="542"/>
      <c r="R4" s="429"/>
      <c r="S4" s="422" t="e">
        <f aca="false">INDEX(PT_DIFFERENTIATION_NUM_CS,MATCH(C4,PT_DIFFERENTIATION_CS_ID,0))</f>
        <v>#N/A</v>
      </c>
      <c r="T4" s="432" t="s">
        <v>527</v>
      </c>
      <c r="U4" s="424"/>
      <c r="V4" s="591"/>
      <c r="W4" s="591"/>
      <c r="X4" s="591"/>
      <c r="Y4" s="591"/>
      <c r="Z4" s="591"/>
      <c r="AA4" s="591"/>
      <c r="AB4" s="591"/>
      <c r="AC4" s="591"/>
      <c r="AD4" s="426" t="e">
        <f aca="false">INDEX(PT_DIFFERENTIATION_CS,MATCH(C4,PT_DIFFERENTIATION_CS_ID,0))</f>
        <v>#N/A</v>
      </c>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7" t="s">
        <v>528</v>
      </c>
      <c r="BE4" s="122"/>
      <c r="BF4" s="122" t="str">
        <f aca="false">IF(T4="","",T4)</f>
        <v>Наименование централизованной системы горячего водоснабжения</v>
      </c>
      <c r="BG4" s="122"/>
      <c r="BH4" s="122"/>
      <c r="BI4" s="42" t="n">
        <v>0</v>
      </c>
    </row>
    <row r="5" s="49" customFormat="true" ht="14.25" hidden="true" customHeight="true" outlineLevel="0" collapsed="false">
      <c r="A5" s="126"/>
      <c r="B5" s="126"/>
      <c r="C5" s="126"/>
      <c r="D5" s="126"/>
      <c r="E5" s="418"/>
      <c r="F5" s="418"/>
      <c r="G5" s="418"/>
      <c r="H5" s="418" t="n">
        <v>1</v>
      </c>
      <c r="I5" s="126"/>
      <c r="J5" s="126"/>
      <c r="K5" s="126"/>
      <c r="L5" s="194"/>
      <c r="M5" s="402"/>
      <c r="N5" s="402"/>
      <c r="O5" s="402"/>
      <c r="P5" s="601"/>
      <c r="Q5" s="602"/>
      <c r="R5" s="438"/>
      <c r="S5" s="299"/>
      <c r="T5" s="603"/>
      <c r="U5" s="508"/>
      <c r="V5" s="543"/>
      <c r="W5" s="543"/>
      <c r="X5" s="543"/>
      <c r="Y5" s="543"/>
      <c r="Z5" s="543"/>
      <c r="AA5" s="543"/>
      <c r="AB5" s="543"/>
      <c r="AC5" s="543"/>
      <c r="AD5" s="509"/>
      <c r="AE5" s="509"/>
      <c r="AF5" s="509"/>
      <c r="AG5" s="509"/>
      <c r="AH5" s="509"/>
      <c r="AI5" s="509"/>
      <c r="AJ5" s="509"/>
      <c r="AK5" s="509"/>
      <c r="AL5" s="509"/>
      <c r="AM5" s="509"/>
      <c r="AN5" s="509"/>
      <c r="AO5" s="509"/>
      <c r="AP5" s="509"/>
      <c r="AQ5" s="509"/>
      <c r="AR5" s="509"/>
      <c r="AS5" s="509"/>
      <c r="AT5" s="509"/>
      <c r="AU5" s="509"/>
      <c r="AV5" s="509"/>
      <c r="AW5" s="509"/>
      <c r="AX5" s="509"/>
      <c r="AY5" s="509"/>
      <c r="AZ5" s="509"/>
      <c r="BA5" s="509"/>
      <c r="BB5" s="509"/>
      <c r="BC5" s="510" t="s">
        <v>399</v>
      </c>
      <c r="BE5" s="122"/>
      <c r="BF5" s="122" t="str">
        <f aca="false">IF(T5="","",T5)</f>
        <v/>
      </c>
      <c r="BG5" s="122"/>
      <c r="BH5" s="122"/>
      <c r="BI5" s="49" t="n">
        <v>0</v>
      </c>
    </row>
    <row r="6" s="49" customFormat="true" ht="14.25" hidden="true" customHeight="true" outlineLevel="0" collapsed="false">
      <c r="A6" s="126"/>
      <c r="B6" s="126"/>
      <c r="C6" s="126"/>
      <c r="D6" s="126"/>
      <c r="E6" s="418"/>
      <c r="F6" s="418"/>
      <c r="G6" s="418"/>
      <c r="H6" s="418"/>
      <c r="I6" s="434" t="str">
        <f aca="false">S5&amp;".1"</f>
        <v>.1</v>
      </c>
      <c r="J6" s="126"/>
      <c r="K6" s="126"/>
      <c r="L6" s="194" t="s">
        <v>400</v>
      </c>
      <c r="M6" s="515"/>
      <c r="N6" s="515"/>
      <c r="O6" s="515"/>
      <c r="P6" s="125" t="n">
        <v>1</v>
      </c>
      <c r="Q6" s="125"/>
      <c r="R6" s="435"/>
      <c r="S6" s="299"/>
      <c r="T6" s="507"/>
      <c r="U6" s="508"/>
      <c r="V6" s="543"/>
      <c r="W6" s="543"/>
      <c r="X6" s="543"/>
      <c r="Y6" s="543"/>
      <c r="Z6" s="543"/>
      <c r="AA6" s="543"/>
      <c r="AB6" s="543"/>
      <c r="AC6" s="543"/>
      <c r="AD6" s="509"/>
      <c r="AE6" s="509"/>
      <c r="AF6" s="509"/>
      <c r="AG6" s="509"/>
      <c r="AH6" s="509"/>
      <c r="AI6" s="509"/>
      <c r="AJ6" s="509"/>
      <c r="AK6" s="509"/>
      <c r="AL6" s="509"/>
      <c r="AM6" s="509"/>
      <c r="AN6" s="509"/>
      <c r="AO6" s="509"/>
      <c r="AP6" s="509"/>
      <c r="AQ6" s="509"/>
      <c r="AR6" s="509"/>
      <c r="AS6" s="509"/>
      <c r="AT6" s="509"/>
      <c r="AU6" s="509"/>
      <c r="AV6" s="509"/>
      <c r="AW6" s="509"/>
      <c r="AX6" s="509"/>
      <c r="AY6" s="509"/>
      <c r="AZ6" s="509"/>
      <c r="BA6" s="509"/>
      <c r="BB6" s="509"/>
      <c r="BC6" s="510"/>
      <c r="BE6" s="122"/>
      <c r="BF6" s="122" t="str">
        <f aca="false">IF(T6="","",T6)</f>
        <v/>
      </c>
      <c r="BG6" s="122"/>
      <c r="BH6" s="122"/>
      <c r="BI6" s="49" t="n">
        <v>0</v>
      </c>
    </row>
    <row r="7" s="49" customFormat="true" ht="14.25" hidden="true" customHeight="true" outlineLevel="0" collapsed="false">
      <c r="A7" s="126"/>
      <c r="B7" s="126"/>
      <c r="C7" s="126"/>
      <c r="D7" s="126"/>
      <c r="E7" s="418"/>
      <c r="F7" s="418"/>
      <c r="G7" s="418"/>
      <c r="H7" s="418"/>
      <c r="I7" s="434"/>
      <c r="J7" s="434" t="str">
        <f aca="false">S5&amp;".1"</f>
        <v>.1</v>
      </c>
      <c r="K7" s="126"/>
      <c r="L7" s="194"/>
      <c r="M7" s="515"/>
      <c r="N7" s="515"/>
      <c r="O7" s="515"/>
      <c r="P7" s="125"/>
      <c r="Q7" s="125" t="n">
        <v>1</v>
      </c>
      <c r="R7" s="438"/>
      <c r="S7" s="299"/>
      <c r="T7" s="544"/>
      <c r="U7" s="508"/>
      <c r="V7" s="543"/>
      <c r="W7" s="543"/>
      <c r="X7" s="543"/>
      <c r="Y7" s="543"/>
      <c r="Z7" s="543"/>
      <c r="AA7" s="543"/>
      <c r="AB7" s="543"/>
      <c r="AC7" s="543"/>
      <c r="AD7" s="509"/>
      <c r="AE7" s="509"/>
      <c r="AF7" s="509"/>
      <c r="AG7" s="509"/>
      <c r="AH7" s="509"/>
      <c r="AI7" s="509"/>
      <c r="AJ7" s="509"/>
      <c r="AK7" s="509"/>
      <c r="AL7" s="509"/>
      <c r="AM7" s="509"/>
      <c r="AN7" s="509"/>
      <c r="AO7" s="509"/>
      <c r="AP7" s="509"/>
      <c r="AQ7" s="509"/>
      <c r="AR7" s="509"/>
      <c r="AS7" s="509"/>
      <c r="AT7" s="509"/>
      <c r="AU7" s="509"/>
      <c r="AV7" s="509"/>
      <c r="AW7" s="509"/>
      <c r="AX7" s="509"/>
      <c r="AY7" s="509"/>
      <c r="AZ7" s="509"/>
      <c r="BA7" s="509"/>
      <c r="BB7" s="509"/>
      <c r="BC7" s="510"/>
      <c r="BE7" s="122"/>
      <c r="BF7" s="122" t="str">
        <f aca="false">IF(T7="","",T7)</f>
        <v/>
      </c>
      <c r="BG7" s="122"/>
      <c r="BH7" s="122"/>
      <c r="BI7" s="49" t="n">
        <v>0</v>
      </c>
    </row>
    <row r="8" customFormat="false" ht="11.25" hidden="true" customHeight="true" outlineLevel="0" collapsed="false">
      <c r="A8" s="417"/>
      <c r="B8" s="417"/>
      <c r="C8" s="417"/>
      <c r="D8" s="417"/>
      <c r="E8" s="418"/>
      <c r="F8" s="418"/>
      <c r="G8" s="418"/>
      <c r="H8" s="418"/>
      <c r="I8" s="434"/>
      <c r="J8" s="434"/>
      <c r="K8" s="434" t="e">
        <f aca="false">S4&amp;".1"</f>
        <v>#N/A</v>
      </c>
      <c r="L8" s="419"/>
      <c r="P8" s="125"/>
      <c r="Q8" s="125"/>
      <c r="R8" s="545" t="n">
        <v>1</v>
      </c>
      <c r="S8" s="480" t="e">
        <f aca="false">$K8</f>
        <v>#N/A</v>
      </c>
      <c r="T8" s="582"/>
      <c r="U8" s="424"/>
      <c r="V8" s="441"/>
      <c r="W8" s="443"/>
      <c r="X8" s="441"/>
      <c r="Y8" s="443"/>
      <c r="Z8" s="444"/>
      <c r="AA8" s="206" t="s">
        <v>64</v>
      </c>
      <c r="AB8" s="444"/>
      <c r="AC8" s="206" t="s">
        <v>64</v>
      </c>
      <c r="AD8" s="206" t="s">
        <v>64</v>
      </c>
      <c r="AE8" s="547"/>
      <c r="AF8" s="295" t="n">
        <v>1</v>
      </c>
      <c r="AG8" s="595"/>
      <c r="AH8" s="206" t="s">
        <v>64</v>
      </c>
      <c r="AI8" s="547"/>
      <c r="AJ8" s="295" t="n">
        <v>1</v>
      </c>
      <c r="AK8" s="78"/>
      <c r="AL8" s="206" t="s">
        <v>64</v>
      </c>
      <c r="AM8" s="505"/>
      <c r="AN8" s="295" t="n">
        <v>1</v>
      </c>
      <c r="AO8" s="604"/>
      <c r="AP8" s="605" t="s">
        <v>64</v>
      </c>
      <c r="AQ8" s="548"/>
      <c r="AR8" s="295" t="n">
        <v>1</v>
      </c>
      <c r="AS8" s="87"/>
      <c r="AT8" s="441"/>
      <c r="AU8" s="443"/>
      <c r="AV8" s="441"/>
      <c r="AW8" s="443"/>
      <c r="AX8" s="444"/>
      <c r="AY8" s="206" t="s">
        <v>64</v>
      </c>
      <c r="AZ8" s="444"/>
      <c r="BA8" s="206" t="s">
        <v>64</v>
      </c>
      <c r="BB8" s="493"/>
      <c r="BC8" s="445" t="s">
        <v>498</v>
      </c>
      <c r="BE8" s="122"/>
      <c r="BF8" s="122" t="str">
        <f aca="false">IF(T8="","",T8)</f>
        <v/>
      </c>
      <c r="BG8" s="122"/>
      <c r="BH8" s="122"/>
      <c r="BI8" s="42" t="n">
        <v>0</v>
      </c>
    </row>
    <row r="9" customFormat="false" ht="11.25" hidden="true" customHeight="true" outlineLevel="0" collapsed="false">
      <c r="A9" s="417"/>
      <c r="B9" s="417"/>
      <c r="C9" s="417"/>
      <c r="D9" s="417"/>
      <c r="E9" s="418"/>
      <c r="F9" s="418"/>
      <c r="G9" s="418"/>
      <c r="H9" s="418"/>
      <c r="I9" s="434"/>
      <c r="J9" s="434"/>
      <c r="K9" s="434"/>
      <c r="L9" s="419"/>
      <c r="P9" s="125"/>
      <c r="Q9" s="125"/>
      <c r="R9" s="545"/>
      <c r="S9" s="480"/>
      <c r="T9" s="582"/>
      <c r="U9" s="424"/>
      <c r="V9" s="537"/>
      <c r="W9" s="551"/>
      <c r="X9" s="537"/>
      <c r="Y9" s="551"/>
      <c r="Z9" s="537"/>
      <c r="AA9" s="537"/>
      <c r="AB9" s="537"/>
      <c r="AC9" s="537"/>
      <c r="AD9" s="206"/>
      <c r="AE9" s="547"/>
      <c r="AF9" s="295"/>
      <c r="AG9" s="595"/>
      <c r="AH9" s="206"/>
      <c r="AI9" s="547"/>
      <c r="AJ9" s="295"/>
      <c r="AK9" s="78"/>
      <c r="AL9" s="206"/>
      <c r="AM9" s="505"/>
      <c r="AN9" s="295"/>
      <c r="AO9" s="604"/>
      <c r="AP9" s="605"/>
      <c r="AQ9" s="550"/>
      <c r="AR9" s="170"/>
      <c r="AS9" s="170" t="s">
        <v>499</v>
      </c>
      <c r="AT9" s="537"/>
      <c r="AU9" s="551"/>
      <c r="AV9" s="537"/>
      <c r="AW9" s="551"/>
      <c r="AX9" s="537"/>
      <c r="AY9" s="537"/>
      <c r="AZ9" s="537"/>
      <c r="BA9" s="537"/>
      <c r="BB9" s="549"/>
      <c r="BC9" s="445"/>
      <c r="BE9" s="122"/>
      <c r="BF9" s="122"/>
      <c r="BG9" s="122"/>
      <c r="BH9" s="122"/>
      <c r="BI9" s="42" t="n">
        <v>0</v>
      </c>
    </row>
    <row r="10" customFormat="false" ht="11.25" hidden="true" customHeight="true" outlineLevel="0" collapsed="false">
      <c r="A10" s="417"/>
      <c r="B10" s="417"/>
      <c r="C10" s="417"/>
      <c r="D10" s="417"/>
      <c r="E10" s="418"/>
      <c r="F10" s="418"/>
      <c r="G10" s="418"/>
      <c r="H10" s="418"/>
      <c r="I10" s="434"/>
      <c r="J10" s="434"/>
      <c r="K10" s="434"/>
      <c r="L10" s="419"/>
      <c r="P10" s="125"/>
      <c r="Q10" s="125"/>
      <c r="R10" s="545"/>
      <c r="S10" s="480"/>
      <c r="T10" s="582"/>
      <c r="U10" s="424"/>
      <c r="V10" s="537"/>
      <c r="W10" s="551"/>
      <c r="X10" s="537"/>
      <c r="Y10" s="551"/>
      <c r="Z10" s="537"/>
      <c r="AA10" s="537"/>
      <c r="AB10" s="537"/>
      <c r="AC10" s="537"/>
      <c r="AD10" s="206"/>
      <c r="AE10" s="547"/>
      <c r="AF10" s="295"/>
      <c r="AG10" s="595"/>
      <c r="AH10" s="206"/>
      <c r="AI10" s="547"/>
      <c r="AJ10" s="295"/>
      <c r="AK10" s="78"/>
      <c r="AL10" s="206"/>
      <c r="AM10" s="550"/>
      <c r="AN10" s="606"/>
      <c r="AO10" s="606" t="s">
        <v>500</v>
      </c>
      <c r="AP10" s="170"/>
      <c r="AQ10" s="170"/>
      <c r="AR10" s="170"/>
      <c r="AS10" s="537"/>
      <c r="AT10" s="537"/>
      <c r="AU10" s="551"/>
      <c r="AV10" s="537"/>
      <c r="AW10" s="551"/>
      <c r="AX10" s="537"/>
      <c r="AY10" s="537"/>
      <c r="AZ10" s="537"/>
      <c r="BA10" s="537"/>
      <c r="BB10" s="549"/>
      <c r="BC10" s="445"/>
      <c r="BE10" s="122"/>
      <c r="BF10" s="122"/>
      <c r="BG10" s="122"/>
      <c r="BH10" s="122"/>
      <c r="BI10" s="42" t="n">
        <v>0</v>
      </c>
    </row>
    <row r="11" customFormat="false" ht="11.25" hidden="true" customHeight="true" outlineLevel="0" collapsed="false">
      <c r="A11" s="417"/>
      <c r="B11" s="417"/>
      <c r="C11" s="417"/>
      <c r="D11" s="417"/>
      <c r="E11" s="418"/>
      <c r="F11" s="418"/>
      <c r="G11" s="418"/>
      <c r="H11" s="418"/>
      <c r="I11" s="434"/>
      <c r="J11" s="434"/>
      <c r="K11" s="434"/>
      <c r="L11" s="419"/>
      <c r="P11" s="125"/>
      <c r="Q11" s="125"/>
      <c r="R11" s="545"/>
      <c r="S11" s="480"/>
      <c r="T11" s="582"/>
      <c r="U11" s="424"/>
      <c r="V11" s="537"/>
      <c r="W11" s="551"/>
      <c r="X11" s="537"/>
      <c r="Y11" s="551"/>
      <c r="Z11" s="537"/>
      <c r="AA11" s="537"/>
      <c r="AB11" s="537"/>
      <c r="AC11" s="537"/>
      <c r="AD11" s="206"/>
      <c r="AE11" s="547"/>
      <c r="AF11" s="295"/>
      <c r="AG11" s="595"/>
      <c r="AH11" s="206"/>
      <c r="AI11" s="553"/>
      <c r="AJ11" s="165"/>
      <c r="AK11" s="382" t="s">
        <v>501</v>
      </c>
      <c r="AL11" s="537"/>
      <c r="AM11" s="537"/>
      <c r="AN11" s="537"/>
      <c r="AO11" s="537"/>
      <c r="AP11" s="537"/>
      <c r="AQ11" s="537"/>
      <c r="AR11" s="537"/>
      <c r="AS11" s="537"/>
      <c r="AT11" s="537"/>
      <c r="AU11" s="551"/>
      <c r="AV11" s="537"/>
      <c r="AW11" s="551"/>
      <c r="AX11" s="537"/>
      <c r="AY11" s="537"/>
      <c r="AZ11" s="537"/>
      <c r="BA11" s="537"/>
      <c r="BB11" s="549"/>
      <c r="BC11" s="445"/>
      <c r="BE11" s="122"/>
      <c r="BF11" s="122"/>
      <c r="BG11" s="122"/>
      <c r="BH11" s="122"/>
      <c r="BI11" s="42" t="n">
        <v>0</v>
      </c>
    </row>
    <row r="12" customFormat="false" ht="11.25" hidden="true" customHeight="true" outlineLevel="0" collapsed="false">
      <c r="A12" s="417"/>
      <c r="B12" s="417"/>
      <c r="C12" s="417"/>
      <c r="D12" s="417"/>
      <c r="E12" s="418"/>
      <c r="F12" s="418"/>
      <c r="G12" s="418"/>
      <c r="H12" s="418"/>
      <c r="I12" s="434"/>
      <c r="J12" s="434"/>
      <c r="K12" s="434"/>
      <c r="L12" s="419"/>
      <c r="P12" s="125"/>
      <c r="Q12" s="125"/>
      <c r="R12" s="545"/>
      <c r="S12" s="480"/>
      <c r="T12" s="582"/>
      <c r="U12" s="424"/>
      <c r="V12" s="537"/>
      <c r="W12" s="538" t="str">
        <f aca="false">Z8&amp;"-"&amp;AB8</f>
        <v>-</v>
      </c>
      <c r="X12" s="537"/>
      <c r="Y12" s="538" t="str">
        <f aca="false">AB8&amp;"-"&amp;AD8</f>
        <v>-да</v>
      </c>
      <c r="Z12" s="537"/>
      <c r="AA12" s="537"/>
      <c r="AB12" s="537"/>
      <c r="AC12" s="537"/>
      <c r="AD12" s="206"/>
      <c r="AE12" s="555"/>
      <c r="AF12" s="556"/>
      <c r="AG12" s="170" t="s">
        <v>502</v>
      </c>
      <c r="AH12" s="537"/>
      <c r="AI12" s="537"/>
      <c r="AJ12" s="537"/>
      <c r="AK12" s="537"/>
      <c r="AL12" s="537"/>
      <c r="AM12" s="537"/>
      <c r="AN12" s="537"/>
      <c r="AO12" s="537"/>
      <c r="AP12" s="537"/>
      <c r="AQ12" s="537"/>
      <c r="AR12" s="537"/>
      <c r="AS12" s="537"/>
      <c r="AT12" s="537"/>
      <c r="AU12" s="538" t="str">
        <f aca="false">AX8&amp;"-"&amp;AZ8</f>
        <v>-</v>
      </c>
      <c r="AV12" s="537"/>
      <c r="AW12" s="538" t="str">
        <f aca="false">AZ8&amp;"-"&amp;BB8</f>
        <v>-</v>
      </c>
      <c r="AX12" s="537"/>
      <c r="AY12" s="537"/>
      <c r="AZ12" s="537"/>
      <c r="BA12" s="537"/>
      <c r="BB12" s="554" t="str">
        <f aca="false">BE8&amp;"-"&amp;BG8</f>
        <v>-</v>
      </c>
      <c r="BC12" s="445"/>
      <c r="BE12" s="122"/>
      <c r="BF12" s="122" t="str">
        <f aca="false">IF(T12="","",T12)</f>
        <v/>
      </c>
      <c r="BG12" s="122"/>
      <c r="BH12" s="122"/>
      <c r="BI12" s="42" t="n">
        <v>0</v>
      </c>
    </row>
    <row r="13" customFormat="false" ht="11.25" hidden="true" customHeight="true" outlineLevel="0" collapsed="false">
      <c r="A13" s="417"/>
      <c r="B13" s="417"/>
      <c r="C13" s="417"/>
      <c r="D13" s="417"/>
      <c r="E13" s="418"/>
      <c r="F13" s="418"/>
      <c r="G13" s="418"/>
      <c r="H13" s="418"/>
      <c r="I13" s="434"/>
      <c r="J13" s="434"/>
      <c r="K13" s="417"/>
      <c r="L13" s="419"/>
      <c r="P13" s="125"/>
      <c r="Q13" s="125"/>
      <c r="R13" s="435"/>
      <c r="S13" s="447"/>
      <c r="T13" s="450" t="s">
        <v>465</v>
      </c>
      <c r="U13" s="196"/>
      <c r="V13" s="196"/>
      <c r="W13" s="196"/>
      <c r="X13" s="196"/>
      <c r="Y13" s="196"/>
      <c r="Z13" s="196"/>
      <c r="AA13" s="196"/>
      <c r="AB13" s="196"/>
      <c r="AC13" s="196"/>
      <c r="AD13" s="578"/>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449"/>
      <c r="BC13" s="445"/>
      <c r="BE13" s="122"/>
      <c r="BF13" s="122" t="str">
        <f aca="false">IF(T13="","",T13)</f>
        <v>Добавить строку</v>
      </c>
      <c r="BG13" s="122"/>
      <c r="BH13" s="122"/>
      <c r="BI13" s="42" t="n">
        <v>0</v>
      </c>
    </row>
    <row r="14" s="49" customFormat="true" ht="14.25" hidden="true" customHeight="true" outlineLevel="0" collapsed="false">
      <c r="A14" s="126"/>
      <c r="B14" s="126"/>
      <c r="C14" s="126"/>
      <c r="D14" s="126"/>
      <c r="E14" s="418"/>
      <c r="F14" s="418"/>
      <c r="G14" s="418"/>
      <c r="H14" s="418"/>
      <c r="I14" s="434"/>
      <c r="J14" s="126"/>
      <c r="K14" s="126"/>
      <c r="L14" s="194"/>
      <c r="M14" s="515"/>
      <c r="N14" s="515"/>
      <c r="O14" s="515"/>
      <c r="P14" s="125"/>
      <c r="Q14" s="125"/>
      <c r="R14" s="435"/>
      <c r="S14" s="511"/>
      <c r="T14" s="512"/>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4"/>
      <c r="BE14" s="122"/>
      <c r="BF14" s="122" t="str">
        <f aca="false">IF(T14="","",T14)</f>
        <v/>
      </c>
      <c r="BG14" s="122"/>
      <c r="BH14" s="122"/>
      <c r="BI14" s="49" t="n">
        <v>0</v>
      </c>
    </row>
    <row r="15" s="49" customFormat="true" ht="14.25" hidden="true" customHeight="true" outlineLevel="0" collapsed="false">
      <c r="A15" s="126"/>
      <c r="B15" s="126"/>
      <c r="C15" s="126"/>
      <c r="D15" s="126"/>
      <c r="E15" s="418"/>
      <c r="F15" s="418"/>
      <c r="G15" s="418"/>
      <c r="H15" s="418"/>
      <c r="I15" s="126"/>
      <c r="J15" s="126"/>
      <c r="K15" s="126"/>
      <c r="L15" s="194"/>
      <c r="M15" s="402"/>
      <c r="N15" s="402"/>
      <c r="P15" s="160"/>
      <c r="Q15" s="455"/>
      <c r="R15" s="557"/>
      <c r="S15" s="511"/>
      <c r="T15" s="512"/>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4"/>
      <c r="BE15" s="122"/>
      <c r="BF15" s="122" t="str">
        <f aca="false">IF(T15="","",T15)</f>
        <v/>
      </c>
      <c r="BG15" s="122"/>
      <c r="BH15" s="122"/>
      <c r="BI15" s="49" t="n">
        <v>0</v>
      </c>
    </row>
    <row r="16" s="49" customFormat="true" ht="14.25" hidden="true" customHeight="true" outlineLevel="0" collapsed="false">
      <c r="A16" s="126"/>
      <c r="B16" s="126"/>
      <c r="C16" s="126"/>
      <c r="D16" s="126"/>
      <c r="E16" s="418"/>
      <c r="F16" s="418"/>
      <c r="G16" s="418"/>
      <c r="H16" s="126"/>
      <c r="I16" s="126"/>
      <c r="J16" s="126"/>
      <c r="K16" s="126"/>
      <c r="L16" s="194"/>
      <c r="M16" s="402"/>
      <c r="N16" s="402"/>
      <c r="P16" s="160"/>
      <c r="Q16" s="455"/>
      <c r="R16" s="160"/>
      <c r="S16" s="460"/>
      <c r="T16" s="463"/>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2"/>
      <c r="AY16" s="462"/>
      <c r="AZ16" s="462"/>
      <c r="BA16" s="462"/>
      <c r="BB16" s="462"/>
      <c r="BC16" s="462"/>
      <c r="BE16" s="122"/>
      <c r="BF16" s="122" t="str">
        <f aca="false">IF(T16="","",T16)</f>
        <v/>
      </c>
      <c r="BG16" s="122"/>
      <c r="BH16" s="122"/>
      <c r="BI16" s="49" t="n">
        <v>0</v>
      </c>
    </row>
    <row r="17" s="49" customFormat="true" ht="14.25" hidden="true" customHeight="true" outlineLevel="0" collapsed="false">
      <c r="A17" s="126"/>
      <c r="B17" s="126"/>
      <c r="C17" s="126"/>
      <c r="D17" s="126"/>
      <c r="E17" s="418"/>
      <c r="F17" s="418"/>
      <c r="G17" s="126"/>
      <c r="H17" s="126"/>
      <c r="I17" s="126"/>
      <c r="J17" s="126"/>
      <c r="K17" s="126"/>
      <c r="L17" s="194"/>
      <c r="M17" s="459"/>
      <c r="N17" s="459"/>
      <c r="P17" s="160"/>
      <c r="Q17" s="455"/>
      <c r="R17" s="160"/>
      <c r="S17" s="460"/>
      <c r="T17" s="463" t="s">
        <v>412</v>
      </c>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c r="AX17" s="462"/>
      <c r="AY17" s="462"/>
      <c r="AZ17" s="462"/>
      <c r="BA17" s="462"/>
      <c r="BB17" s="462"/>
      <c r="BC17" s="462"/>
      <c r="BE17" s="122"/>
      <c r="BF17" s="122" t="str">
        <f aca="false">IF(T17="","",T17)</f>
        <v>Добавить централизованную систему для дифференциации</v>
      </c>
      <c r="BG17" s="122"/>
      <c r="BH17" s="122"/>
      <c r="BI17" s="49" t="n">
        <v>0</v>
      </c>
    </row>
    <row r="18" s="49" customFormat="true" ht="14.25" hidden="true" customHeight="true" outlineLevel="0" collapsed="false">
      <c r="A18" s="126"/>
      <c r="B18" s="126"/>
      <c r="C18" s="126"/>
      <c r="D18" s="126"/>
      <c r="E18" s="418"/>
      <c r="F18" s="126"/>
      <c r="G18" s="126"/>
      <c r="H18" s="126"/>
      <c r="I18" s="126"/>
      <c r="J18" s="126"/>
      <c r="K18" s="126"/>
      <c r="L18" s="194"/>
      <c r="M18" s="459"/>
      <c r="N18" s="459"/>
      <c r="P18" s="160"/>
      <c r="Q18" s="455"/>
      <c r="R18" s="160"/>
      <c r="S18" s="460"/>
      <c r="T18" s="463" t="s">
        <v>413</v>
      </c>
      <c r="U18" s="462"/>
      <c r="V18" s="462"/>
      <c r="W18" s="462"/>
      <c r="X18" s="462"/>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E18" s="122"/>
      <c r="BF18" s="122" t="str">
        <f aca="false">IF(T18="","",T18)</f>
        <v>Добавить территорию для дифференциации</v>
      </c>
      <c r="BG18" s="122"/>
      <c r="BH18" s="122"/>
      <c r="BI18" s="49" t="n">
        <v>0</v>
      </c>
    </row>
    <row r="19" customFormat="false" ht="14.25" hidden="true" customHeight="true" outlineLevel="0" collapsed="false">
      <c r="BI19" s="42" t="n">
        <v>0</v>
      </c>
    </row>
    <row r="20" customFormat="false" ht="14.25" hidden="true" customHeight="true" outlineLevel="0" collapsed="false">
      <c r="AD20" s="462" t="s">
        <v>19</v>
      </c>
      <c r="AE20" s="558"/>
      <c r="AF20" s="462" t="n">
        <v>1</v>
      </c>
      <c r="AG20" s="559"/>
      <c r="AH20" s="462" t="s">
        <v>19</v>
      </c>
      <c r="AI20" s="558"/>
      <c r="AJ20" s="462" t="n">
        <v>1</v>
      </c>
      <c r="AK20" s="559"/>
      <c r="AL20" s="462" t="s">
        <v>19</v>
      </c>
      <c r="AM20" s="560"/>
      <c r="AN20" s="462" t="n">
        <v>1</v>
      </c>
      <c r="AO20" s="127"/>
      <c r="AP20" s="462" t="s">
        <v>19</v>
      </c>
      <c r="AQ20" s="560"/>
      <c r="AR20" s="462" t="n">
        <v>1</v>
      </c>
      <c r="AS20" s="127"/>
      <c r="AT20" s="442"/>
      <c r="AU20" s="504"/>
      <c r="AV20" s="442"/>
      <c r="AW20" s="504"/>
      <c r="AX20" s="564"/>
      <c r="AY20" s="565" t="s">
        <v>64</v>
      </c>
      <c r="AZ20" s="564"/>
      <c r="BA20" s="565" t="s">
        <v>64</v>
      </c>
      <c r="BI20" s="42" t="n">
        <v>0</v>
      </c>
    </row>
    <row r="21" customFormat="false" ht="14.25" hidden="true" customHeight="true" outlineLevel="0" collapsed="false">
      <c r="BD21" s="124"/>
      <c r="BE21" s="124"/>
      <c r="BF21" s="124"/>
      <c r="BG21" s="124"/>
      <c r="BH21" s="124"/>
      <c r="BI21" s="42" t="n">
        <v>0</v>
      </c>
    </row>
    <row r="22" customFormat="false" ht="14.25" hidden="true" customHeight="true" outlineLevel="0" collapsed="false">
      <c r="O22" s="468" t="s">
        <v>414</v>
      </c>
      <c r="Z22" s="502"/>
      <c r="AB22" s="502"/>
      <c r="AX22" s="502"/>
      <c r="AZ22" s="502"/>
      <c r="BD22" s="124"/>
      <c r="BE22" s="124"/>
      <c r="BF22" s="124"/>
      <c r="BG22" s="124"/>
      <c r="BH22" s="124"/>
      <c r="BI22" s="42" t="n">
        <v>0</v>
      </c>
    </row>
    <row r="23" customFormat="false" ht="14.25" hidden="true" customHeight="true" outlineLevel="0" collapsed="false">
      <c r="BD23" s="124"/>
      <c r="BE23" s="124"/>
      <c r="BF23" s="124"/>
      <c r="BG23" s="124"/>
      <c r="BH23" s="124"/>
      <c r="BI23" s="42" t="n">
        <v>0</v>
      </c>
    </row>
    <row r="24" s="566" customFormat="true" ht="14.25" hidden="true" customHeight="true" outlineLevel="0" collapsed="false">
      <c r="M24" s="567"/>
      <c r="N24" s="567"/>
      <c r="O24" s="566" t="s">
        <v>415</v>
      </c>
      <c r="P24" s="567"/>
      <c r="Q24" s="568"/>
      <c r="R24" s="568"/>
      <c r="AA24" s="566" t="s">
        <v>417</v>
      </c>
      <c r="AC24" s="566" t="s">
        <v>418</v>
      </c>
      <c r="AD24" s="566" t="s">
        <v>466</v>
      </c>
      <c r="AH24" s="566" t="s">
        <v>466</v>
      </c>
      <c r="AK24" s="566" t="s">
        <v>503</v>
      </c>
      <c r="AL24" s="566" t="s">
        <v>466</v>
      </c>
      <c r="AP24" s="566" t="s">
        <v>466</v>
      </c>
      <c r="AY24" s="566" t="s">
        <v>417</v>
      </c>
      <c r="BA24" s="566" t="s">
        <v>418</v>
      </c>
      <c r="BD24" s="569"/>
      <c r="BE24" s="569"/>
      <c r="BF24" s="569"/>
      <c r="BG24" s="569"/>
      <c r="BH24" s="569"/>
      <c r="BI24" s="566" t="n">
        <v>0</v>
      </c>
    </row>
    <row r="25" customFormat="false" ht="14.25" hidden="true" customHeight="true" outlineLevel="0" collapsed="false">
      <c r="O25" s="419"/>
      <c r="BD25" s="124"/>
      <c r="BE25" s="124"/>
      <c r="BF25" s="124"/>
      <c r="BG25" s="124"/>
      <c r="BH25" s="124"/>
      <c r="BI25" s="42" t="n">
        <v>0</v>
      </c>
    </row>
    <row r="26" customFormat="false" ht="14.25" hidden="true" customHeight="true" outlineLevel="0" collapsed="false">
      <c r="O26" s="419"/>
      <c r="BD26" s="124"/>
      <c r="BE26" s="124"/>
      <c r="BF26" s="124"/>
      <c r="BG26" s="124"/>
      <c r="BH26" s="124"/>
      <c r="BI26" s="42" t="n">
        <v>0</v>
      </c>
    </row>
    <row r="27" customFormat="false" ht="14.25" hidden="false" customHeight="true" outlineLevel="0" collapsed="false">
      <c r="Q27" s="570"/>
      <c r="R27" s="470"/>
      <c r="S27" s="471"/>
      <c r="T27" s="83"/>
      <c r="U27" s="83"/>
      <c r="BI27" s="42" t="n">
        <v>14</v>
      </c>
    </row>
    <row r="28" customFormat="false" ht="14.25" hidden="false" customHeight="true" outlineLevel="0" collapsed="false">
      <c r="Q28" s="570"/>
      <c r="R28" s="470"/>
      <c r="S28" s="215" t="str">
        <f aca="false">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7"/>
      <c r="BI28" s="42" t="n">
        <v>14</v>
      </c>
    </row>
    <row r="29" customFormat="false" ht="14.25" hidden="false" customHeight="true" outlineLevel="0" collapsed="false">
      <c r="Q29" s="570"/>
      <c r="R29" s="470"/>
      <c r="S29" s="259" t="str">
        <f aca="false">IF(org=0,"Не определено",org)</f>
        <v>Филиал ПАО "ОГК-2" - Серовская ГРЭС, г. Серов</v>
      </c>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17"/>
      <c r="BI29" s="42" t="n">
        <v>14</v>
      </c>
    </row>
    <row r="30" customFormat="false" ht="14.25" hidden="true" customHeight="true" outlineLevel="0" collapsed="false">
      <c r="Q30" s="570"/>
      <c r="R30" s="470"/>
      <c r="S30" s="471"/>
      <c r="T30" s="83"/>
      <c r="U30" s="83"/>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472"/>
      <c r="AY30" s="472"/>
      <c r="AZ30" s="472"/>
      <c r="BA30" s="472"/>
      <c r="BI30" s="42" t="n">
        <v>0</v>
      </c>
    </row>
    <row r="31" s="177" customFormat="true" ht="25.5" hidden="true" customHeight="true" outlineLevel="0" collapsed="false">
      <c r="A31" s="144"/>
      <c r="B31" s="144"/>
      <c r="C31" s="144"/>
      <c r="D31" s="144"/>
      <c r="E31" s="144"/>
      <c r="F31" s="144"/>
      <c r="G31" s="144"/>
      <c r="H31" s="144"/>
      <c r="I31" s="144"/>
      <c r="J31" s="144"/>
      <c r="K31" s="144"/>
      <c r="L31" s="419"/>
      <c r="M31" s="144"/>
      <c r="N31" s="144"/>
      <c r="O31" s="144"/>
      <c r="P31" s="144"/>
      <c r="Q31" s="144"/>
      <c r="S31" s="473" t="s">
        <v>41</v>
      </c>
      <c r="T31" s="473"/>
      <c r="U31" s="474"/>
      <c r="V31" s="475" t="str">
        <f aca="false">IF(TITLE_NAME_OR_PR_CHANGE="",IF(TITLE_NAME_OR_PR="","",TITLE_NAME_OR_PR),TITLE_NAME_OR_PR_CHANGE)</f>
        <v/>
      </c>
      <c r="W31" s="475"/>
      <c r="X31" s="475"/>
      <c r="Y31" s="475"/>
      <c r="Z31" s="475"/>
      <c r="AA31" s="475"/>
      <c r="AB31" s="475"/>
      <c r="AC31" s="42"/>
      <c r="AD31" s="475" t="str">
        <f aca="false">IF(TITLE_NAME_OR_PR_CHANGE="",IF(TITLE_NAME_OR_PR="","",TITLE_NAME_OR_PR),TITLE_NAME_OR_PR_CHANGE)</f>
        <v/>
      </c>
      <c r="AE31" s="475"/>
      <c r="AF31" s="475"/>
      <c r="AG31" s="475"/>
      <c r="AH31" s="475"/>
      <c r="AI31" s="475"/>
      <c r="AJ31" s="475"/>
      <c r="AK31" s="475"/>
      <c r="AL31" s="475"/>
      <c r="AM31" s="475"/>
      <c r="AN31" s="475"/>
      <c r="AO31" s="475"/>
      <c r="AP31" s="475"/>
      <c r="AQ31" s="475"/>
      <c r="AR31" s="475"/>
      <c r="AS31" s="475"/>
      <c r="AT31" s="475"/>
      <c r="AU31" s="475"/>
      <c r="AV31" s="475"/>
      <c r="AW31" s="475"/>
      <c r="AX31" s="475"/>
      <c r="AY31" s="475"/>
      <c r="AZ31" s="475"/>
      <c r="BA31" s="42"/>
      <c r="BB31" s="42"/>
      <c r="BC31" s="476"/>
      <c r="BD31" s="122"/>
      <c r="BE31" s="122"/>
      <c r="BF31" s="122"/>
      <c r="BG31" s="122"/>
      <c r="BH31" s="122"/>
      <c r="BI31" s="177" t="n">
        <v>0</v>
      </c>
    </row>
    <row r="32" s="177" customFormat="true" ht="18.75" hidden="true" customHeight="true" outlineLevel="0" collapsed="false">
      <c r="A32" s="144"/>
      <c r="B32" s="144"/>
      <c r="C32" s="144"/>
      <c r="D32" s="144"/>
      <c r="E32" s="144"/>
      <c r="F32" s="144"/>
      <c r="G32" s="144"/>
      <c r="H32" s="144"/>
      <c r="I32" s="144"/>
      <c r="J32" s="144"/>
      <c r="K32" s="144"/>
      <c r="L32" s="419"/>
      <c r="M32" s="144"/>
      <c r="N32" s="144"/>
      <c r="O32" s="144"/>
      <c r="P32" s="144"/>
      <c r="Q32" s="144"/>
      <c r="S32" s="473" t="s">
        <v>420</v>
      </c>
      <c r="T32" s="473"/>
      <c r="U32" s="474"/>
      <c r="V32" s="477" t="str">
        <f aca="false">IF(TITLE_DATE_PR_CHANGE="",IF(TITLE_DATE_PR="","",TITLE_DATE_PR),TITLE_DATE_PR_CHANGE)</f>
        <v/>
      </c>
      <c r="W32" s="477"/>
      <c r="X32" s="477"/>
      <c r="Y32" s="477"/>
      <c r="Z32" s="477"/>
      <c r="AA32" s="477"/>
      <c r="AB32" s="477"/>
      <c r="AC32" s="42"/>
      <c r="AD32" s="477" t="str">
        <f aca="false">IF(TITLE_DATE_PR_CHANGE="",IF(TITLE_DATE_PR="","",TITLE_DATE_PR),TITLE_DATE_PR_CHANGE)</f>
        <v/>
      </c>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2"/>
      <c r="BB32" s="42"/>
      <c r="BC32" s="476"/>
      <c r="BD32" s="122"/>
      <c r="BE32" s="122"/>
      <c r="BF32" s="122"/>
      <c r="BG32" s="122"/>
      <c r="BH32" s="122"/>
      <c r="BI32" s="177" t="n">
        <v>0</v>
      </c>
    </row>
    <row r="33" s="177" customFormat="true" ht="18.75" hidden="true" customHeight="true" outlineLevel="0" collapsed="false">
      <c r="A33" s="144"/>
      <c r="B33" s="144"/>
      <c r="C33" s="144"/>
      <c r="D33" s="144"/>
      <c r="E33" s="144"/>
      <c r="F33" s="144"/>
      <c r="G33" s="144"/>
      <c r="H33" s="144"/>
      <c r="I33" s="144"/>
      <c r="J33" s="144"/>
      <c r="K33" s="144"/>
      <c r="L33" s="419"/>
      <c r="M33" s="144"/>
      <c r="N33" s="144"/>
      <c r="O33" s="144"/>
      <c r="P33" s="144"/>
      <c r="Q33" s="144"/>
      <c r="S33" s="473" t="s">
        <v>421</v>
      </c>
      <c r="T33" s="473"/>
      <c r="U33" s="474"/>
      <c r="V33" s="475" t="str">
        <f aca="false">IF(TITLE_NUMBER_PR_CHANGE="",IF(TITLE_NUMBER_PR="","",TITLE_NUMBER_PR),TITLE_NUMBER_PR_CHANGE)</f>
        <v/>
      </c>
      <c r="W33" s="475"/>
      <c r="X33" s="475"/>
      <c r="Y33" s="475"/>
      <c r="Z33" s="475"/>
      <c r="AA33" s="475"/>
      <c r="AB33" s="475"/>
      <c r="AC33" s="42"/>
      <c r="AD33" s="475" t="str">
        <f aca="false">IF(TITLE_NUMBER_PR_CHANGE="",IF(TITLE_NUMBER_PR="","",TITLE_NUMBER_PR),TITLE_NUMBER_PR_CHANGE)</f>
        <v/>
      </c>
      <c r="AE33" s="475"/>
      <c r="AF33" s="475"/>
      <c r="AG33" s="475"/>
      <c r="AH33" s="475"/>
      <c r="AI33" s="475"/>
      <c r="AJ33" s="475"/>
      <c r="AK33" s="475"/>
      <c r="AL33" s="475"/>
      <c r="AM33" s="475"/>
      <c r="AN33" s="475"/>
      <c r="AO33" s="475"/>
      <c r="AP33" s="475"/>
      <c r="AQ33" s="475"/>
      <c r="AR33" s="475"/>
      <c r="AS33" s="475"/>
      <c r="AT33" s="475"/>
      <c r="AU33" s="475"/>
      <c r="AV33" s="475"/>
      <c r="AW33" s="475"/>
      <c r="AX33" s="475"/>
      <c r="AY33" s="475"/>
      <c r="AZ33" s="475"/>
      <c r="BA33" s="42"/>
      <c r="BB33" s="42"/>
      <c r="BC33" s="476"/>
      <c r="BD33" s="122"/>
      <c r="BE33" s="122"/>
      <c r="BF33" s="122"/>
      <c r="BG33" s="122"/>
      <c r="BH33" s="122"/>
      <c r="BI33" s="177" t="n">
        <v>0</v>
      </c>
    </row>
    <row r="34" s="177" customFormat="true" ht="18.75" hidden="true" customHeight="true" outlineLevel="0" collapsed="false">
      <c r="A34" s="144"/>
      <c r="B34" s="144"/>
      <c r="C34" s="144"/>
      <c r="D34" s="144"/>
      <c r="E34" s="144"/>
      <c r="F34" s="144"/>
      <c r="G34" s="144"/>
      <c r="H34" s="144"/>
      <c r="I34" s="144"/>
      <c r="J34" s="144"/>
      <c r="K34" s="144"/>
      <c r="L34" s="419"/>
      <c r="M34" s="144"/>
      <c r="N34" s="144"/>
      <c r="O34" s="144"/>
      <c r="P34" s="144"/>
      <c r="Q34" s="144"/>
      <c r="S34" s="473" t="s">
        <v>42</v>
      </c>
      <c r="T34" s="473"/>
      <c r="U34" s="474"/>
      <c r="V34" s="475" t="str">
        <f aca="false">IF(TITLE_IST_PUB_CHANGE="",IF(TITLE_IST_PUB="","",TITLE_IST_PUB),TITLE_IST_PUB_CHANGE)</f>
        <v/>
      </c>
      <c r="W34" s="475"/>
      <c r="X34" s="475"/>
      <c r="Y34" s="475"/>
      <c r="Z34" s="475"/>
      <c r="AA34" s="475"/>
      <c r="AB34" s="475"/>
      <c r="AC34" s="42"/>
      <c r="AD34" s="475" t="str">
        <f aca="false">IF(TITLE_IST_PUB_CHANGE="",IF(TITLE_IST_PUB="","",TITLE_IST_PUB),TITLE_IST_PUB_CHANGE)</f>
        <v/>
      </c>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2"/>
      <c r="BB34" s="42"/>
      <c r="BC34" s="476"/>
      <c r="BD34" s="122"/>
      <c r="BE34" s="122"/>
      <c r="BF34" s="122"/>
      <c r="BG34" s="122"/>
      <c r="BH34" s="122"/>
      <c r="BI34" s="177" t="n">
        <v>0</v>
      </c>
    </row>
    <row r="35" customFormat="false" ht="14.25" hidden="true" customHeight="true" outlineLevel="0" collapsed="false">
      <c r="Q35" s="570"/>
      <c r="R35" s="470"/>
      <c r="S35" s="471"/>
      <c r="T35" s="83"/>
      <c r="U35" s="83"/>
      <c r="V35" s="472"/>
      <c r="W35" s="472"/>
      <c r="X35" s="472"/>
      <c r="Y35" s="472"/>
      <c r="Z35" s="472"/>
      <c r="AA35" s="472"/>
      <c r="AB35" s="472"/>
      <c r="AC35" s="472"/>
      <c r="AD35" s="472"/>
      <c r="AE35" s="472"/>
      <c r="AF35" s="472"/>
      <c r="AG35" s="472"/>
      <c r="AH35" s="472"/>
      <c r="AI35" s="472"/>
      <c r="AJ35" s="472"/>
      <c r="AK35" s="472"/>
      <c r="AL35" s="472"/>
      <c r="AM35" s="472"/>
      <c r="AN35" s="472"/>
      <c r="AO35" s="472"/>
      <c r="AP35" s="472"/>
      <c r="AQ35" s="472"/>
      <c r="AR35" s="472"/>
      <c r="AS35" s="472"/>
      <c r="AT35" s="472"/>
      <c r="AU35" s="472"/>
      <c r="AV35" s="472"/>
      <c r="AW35" s="472"/>
      <c r="AX35" s="472"/>
      <c r="AY35" s="472"/>
      <c r="AZ35" s="472"/>
      <c r="BA35" s="472"/>
      <c r="BI35" s="42" t="n">
        <v>0</v>
      </c>
    </row>
    <row r="36" s="177" customFormat="true" ht="18.75" hidden="true" customHeight="true" outlineLevel="0" collapsed="false">
      <c r="A36" s="144"/>
      <c r="B36" s="144"/>
      <c r="C36" s="144"/>
      <c r="D36" s="144"/>
      <c r="E36" s="144"/>
      <c r="F36" s="144"/>
      <c r="G36" s="144"/>
      <c r="H36" s="144"/>
      <c r="I36" s="144"/>
      <c r="J36" s="144"/>
      <c r="K36" s="144"/>
      <c r="L36" s="419"/>
      <c r="M36" s="144"/>
      <c r="N36" s="144"/>
      <c r="O36" s="144"/>
      <c r="P36" s="144"/>
      <c r="Q36" s="144"/>
      <c r="S36" s="473" t="s">
        <v>420</v>
      </c>
      <c r="T36" s="473"/>
      <c r="U36" s="474"/>
      <c r="V36" s="477" t="str">
        <f aca="false">IF(TITLE_DATE_PR_CHANGE="",IF(TITLE_DATE_PR="","",TITLE_DATE_PR),TITLE_DATE_PR_CHANGE)</f>
        <v/>
      </c>
      <c r="W36" s="477"/>
      <c r="X36" s="477"/>
      <c r="Y36" s="477"/>
      <c r="Z36" s="477"/>
      <c r="AA36" s="477"/>
      <c r="AB36" s="477"/>
      <c r="AC36" s="42"/>
      <c r="AD36" s="477" t="str">
        <f aca="false">IF(TITLE_DATE_PR_CHANGE="",IF(TITLE_DATE_PR="","",TITLE_DATE_PR),TITLE_DATE_PR_CHANGE)</f>
        <v/>
      </c>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2"/>
      <c r="BB36" s="42"/>
      <c r="BC36" s="476"/>
      <c r="BD36" s="122"/>
      <c r="BE36" s="122"/>
      <c r="BF36" s="122"/>
      <c r="BG36" s="122"/>
      <c r="BH36" s="122"/>
      <c r="BI36" s="177" t="n">
        <v>0</v>
      </c>
    </row>
    <row r="37" s="177" customFormat="true" ht="18.75" hidden="true" customHeight="true" outlineLevel="0" collapsed="false">
      <c r="A37" s="144"/>
      <c r="B37" s="144"/>
      <c r="C37" s="144"/>
      <c r="D37" s="144"/>
      <c r="E37" s="144"/>
      <c r="F37" s="144"/>
      <c r="G37" s="144"/>
      <c r="H37" s="144"/>
      <c r="I37" s="144"/>
      <c r="J37" s="144"/>
      <c r="K37" s="144"/>
      <c r="L37" s="419"/>
      <c r="M37" s="144"/>
      <c r="N37" s="144"/>
      <c r="O37" s="144"/>
      <c r="P37" s="144"/>
      <c r="Q37" s="144"/>
      <c r="S37" s="473" t="s">
        <v>421</v>
      </c>
      <c r="T37" s="473"/>
      <c r="U37" s="474"/>
      <c r="V37" s="475" t="str">
        <f aca="false">IF(TITLE_NUMBER_PR_CHANGE="",IF(TITLE_NUMBER_PR="","",TITLE_NUMBER_PR),TITLE_NUMBER_PR_CHANGE)</f>
        <v/>
      </c>
      <c r="W37" s="475"/>
      <c r="X37" s="475"/>
      <c r="Y37" s="475"/>
      <c r="Z37" s="475"/>
      <c r="AA37" s="475"/>
      <c r="AB37" s="475"/>
      <c r="AC37" s="42"/>
      <c r="AD37" s="475" t="str">
        <f aca="false">IF(TITLE_NUMBER_PR_CHANGE="",IF(TITLE_NUMBER_PR="","",TITLE_NUMBER_PR),TITLE_NUMBER_PR_CHANGE)</f>
        <v/>
      </c>
      <c r="AE37" s="475"/>
      <c r="AF37" s="475"/>
      <c r="AG37" s="475"/>
      <c r="AH37" s="475"/>
      <c r="AI37" s="475"/>
      <c r="AJ37" s="475"/>
      <c r="AK37" s="475"/>
      <c r="AL37" s="475"/>
      <c r="AM37" s="475"/>
      <c r="AN37" s="475"/>
      <c r="AO37" s="475"/>
      <c r="AP37" s="475"/>
      <c r="AQ37" s="475"/>
      <c r="AR37" s="475"/>
      <c r="AS37" s="475"/>
      <c r="AT37" s="475"/>
      <c r="AU37" s="475"/>
      <c r="AV37" s="475"/>
      <c r="AW37" s="475"/>
      <c r="AX37" s="475"/>
      <c r="AY37" s="475"/>
      <c r="AZ37" s="475"/>
      <c r="BA37" s="42"/>
      <c r="BB37" s="42"/>
      <c r="BC37" s="476"/>
      <c r="BD37" s="122"/>
      <c r="BE37" s="122"/>
      <c r="BF37" s="122"/>
      <c r="BG37" s="122"/>
      <c r="BH37" s="122"/>
      <c r="BI37" s="177" t="n">
        <v>0</v>
      </c>
    </row>
    <row r="38" s="177" customFormat="true" ht="14.35" hidden="false" customHeight="false" outlineLevel="0" collapsed="false">
      <c r="A38" s="144"/>
      <c r="B38" s="144"/>
      <c r="C38" s="144"/>
      <c r="D38" s="144"/>
      <c r="E38" s="144"/>
      <c r="F38" s="144"/>
      <c r="G38" s="144"/>
      <c r="H38" s="144"/>
      <c r="I38" s="144"/>
      <c r="J38" s="144"/>
      <c r="K38" s="144"/>
      <c r="L38" s="419"/>
      <c r="M38" s="144"/>
      <c r="N38" s="144"/>
      <c r="O38" s="144"/>
      <c r="P38" s="144"/>
      <c r="Q38" s="144"/>
      <c r="S38" s="42"/>
      <c r="T38" s="42"/>
      <c r="U38" s="132"/>
      <c r="V38" s="42"/>
      <c r="W38" s="42"/>
      <c r="X38" s="42"/>
      <c r="Y38" s="42"/>
      <c r="Z38" s="42"/>
      <c r="AA38" s="42"/>
      <c r="AB38" s="42"/>
      <c r="AC38" s="49" t="s">
        <v>424</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424</v>
      </c>
      <c r="BD38" s="122"/>
      <c r="BE38" s="122"/>
      <c r="BF38" s="122"/>
      <c r="BG38" s="122"/>
      <c r="BH38" s="122"/>
      <c r="BI38" s="177" t="n">
        <v>0</v>
      </c>
    </row>
    <row r="39" customFormat="false" ht="14.25" hidden="false" customHeight="true" outlineLevel="0" collapsed="false">
      <c r="Q39" s="570"/>
      <c r="R39" s="470"/>
      <c r="S39" s="471"/>
      <c r="T39" s="83"/>
      <c r="U39" s="478"/>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I39" s="42" t="n">
        <v>14</v>
      </c>
    </row>
    <row r="40" customFormat="false" ht="14.25" hidden="false" customHeight="true" outlineLevel="0" collapsed="false">
      <c r="Q40" s="570"/>
      <c r="R40" s="470"/>
      <c r="S40" s="138" t="s">
        <v>297</v>
      </c>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t="s">
        <v>298</v>
      </c>
      <c r="BI40" s="42" t="n">
        <v>14</v>
      </c>
    </row>
    <row r="41" customFormat="false" ht="14.25" hidden="false" customHeight="true" outlineLevel="0" collapsed="false">
      <c r="Q41" s="570"/>
      <c r="R41" s="470"/>
      <c r="S41" s="422" t="s">
        <v>86</v>
      </c>
      <c r="T41" s="395" t="s">
        <v>504</v>
      </c>
      <c r="U41" s="481"/>
      <c r="V41" s="294" t="s">
        <v>426</v>
      </c>
      <c r="W41" s="294"/>
      <c r="X41" s="294"/>
      <c r="Y41" s="294"/>
      <c r="Z41" s="294"/>
      <c r="AA41" s="294"/>
      <c r="AB41" s="294"/>
      <c r="AC41" s="395" t="s">
        <v>427</v>
      </c>
      <c r="AD41" s="294" t="s">
        <v>505</v>
      </c>
      <c r="AE41" s="294"/>
      <c r="AF41" s="294"/>
      <c r="AG41" s="294"/>
      <c r="AH41" s="294" t="s">
        <v>506</v>
      </c>
      <c r="AI41" s="294"/>
      <c r="AJ41" s="294"/>
      <c r="AK41" s="294"/>
      <c r="AL41" s="294" t="s">
        <v>507</v>
      </c>
      <c r="AM41" s="294"/>
      <c r="AN41" s="294"/>
      <c r="AO41" s="294"/>
      <c r="AP41" s="294" t="s">
        <v>508</v>
      </c>
      <c r="AQ41" s="294"/>
      <c r="AR41" s="294"/>
      <c r="AS41" s="294"/>
      <c r="AT41" s="294" t="s">
        <v>426</v>
      </c>
      <c r="AU41" s="294"/>
      <c r="AV41" s="294"/>
      <c r="AW41" s="294"/>
      <c r="AX41" s="294"/>
      <c r="AY41" s="294"/>
      <c r="AZ41" s="294"/>
      <c r="BA41" s="395" t="s">
        <v>427</v>
      </c>
      <c r="BB41" s="482" t="s">
        <v>429</v>
      </c>
      <c r="BC41" s="138"/>
      <c r="BI41" s="42" t="n">
        <v>14</v>
      </c>
    </row>
    <row r="42" customFormat="false" ht="35.25" hidden="false" customHeight="true" outlineLevel="0" collapsed="false">
      <c r="Q42" s="570"/>
      <c r="R42" s="470"/>
      <c r="S42" s="422"/>
      <c r="T42" s="395"/>
      <c r="U42" s="483"/>
      <c r="V42" s="484" t="s">
        <v>509</v>
      </c>
      <c r="W42" s="484"/>
      <c r="X42" s="484" t="s">
        <v>510</v>
      </c>
      <c r="Y42" s="484"/>
      <c r="Z42" s="138" t="s">
        <v>511</v>
      </c>
      <c r="AA42" s="138"/>
      <c r="AB42" s="138"/>
      <c r="AC42" s="395"/>
      <c r="AD42" s="294"/>
      <c r="AE42" s="294"/>
      <c r="AF42" s="294"/>
      <c r="AG42" s="294"/>
      <c r="AH42" s="294"/>
      <c r="AI42" s="294"/>
      <c r="AJ42" s="294"/>
      <c r="AK42" s="294"/>
      <c r="AL42" s="294"/>
      <c r="AM42" s="294"/>
      <c r="AN42" s="294"/>
      <c r="AO42" s="294"/>
      <c r="AP42" s="294"/>
      <c r="AQ42" s="294"/>
      <c r="AR42" s="294"/>
      <c r="AS42" s="294"/>
      <c r="AT42" s="484" t="s">
        <v>509</v>
      </c>
      <c r="AU42" s="484"/>
      <c r="AV42" s="484" t="s">
        <v>510</v>
      </c>
      <c r="AW42" s="484"/>
      <c r="AX42" s="138" t="s">
        <v>511</v>
      </c>
      <c r="AY42" s="138"/>
      <c r="AZ42" s="138"/>
      <c r="BA42" s="395"/>
      <c r="BB42" s="482"/>
      <c r="BC42" s="138"/>
      <c r="BI42" s="42" t="n">
        <v>34</v>
      </c>
    </row>
    <row r="43" customFormat="false" ht="14.25" hidden="false" customHeight="true" outlineLevel="0" collapsed="false">
      <c r="Q43" s="570"/>
      <c r="R43" s="470"/>
      <c r="S43" s="422"/>
      <c r="T43" s="395"/>
      <c r="U43" s="483"/>
      <c r="V43" s="484"/>
      <c r="W43" s="484"/>
      <c r="X43" s="484"/>
      <c r="Y43" s="484"/>
      <c r="Z43" s="138"/>
      <c r="AA43" s="138"/>
      <c r="AB43" s="138"/>
      <c r="AC43" s="395"/>
      <c r="AD43" s="294"/>
      <c r="AE43" s="294"/>
      <c r="AF43" s="294"/>
      <c r="AG43" s="294"/>
      <c r="AH43" s="294"/>
      <c r="AI43" s="294"/>
      <c r="AJ43" s="294"/>
      <c r="AK43" s="294"/>
      <c r="AL43" s="294"/>
      <c r="AM43" s="294"/>
      <c r="AN43" s="294"/>
      <c r="AO43" s="294"/>
      <c r="AP43" s="294"/>
      <c r="AQ43" s="294"/>
      <c r="AR43" s="294"/>
      <c r="AS43" s="294"/>
      <c r="AT43" s="484"/>
      <c r="AU43" s="484"/>
      <c r="AV43" s="484"/>
      <c r="AW43" s="484"/>
      <c r="AX43" s="138"/>
      <c r="AY43" s="138"/>
      <c r="AZ43" s="138"/>
      <c r="BA43" s="395"/>
      <c r="BB43" s="482"/>
      <c r="BC43" s="138"/>
      <c r="BI43" s="42" t="n">
        <v>14</v>
      </c>
    </row>
    <row r="44" customFormat="false" ht="14.25" hidden="false" customHeight="true" outlineLevel="0" collapsed="false">
      <c r="A44" s="144"/>
      <c r="B44" s="144" t="s">
        <v>134</v>
      </c>
      <c r="C44" s="144" t="s">
        <v>135</v>
      </c>
      <c r="D44" s="144" t="s">
        <v>136</v>
      </c>
      <c r="E44" s="419" t="s">
        <v>434</v>
      </c>
      <c r="F44" s="419" t="s">
        <v>435</v>
      </c>
      <c r="G44" s="419" t="s">
        <v>436</v>
      </c>
      <c r="H44" s="419" t="s">
        <v>437</v>
      </c>
      <c r="I44" s="419" t="s">
        <v>438</v>
      </c>
      <c r="J44" s="419" t="s">
        <v>439</v>
      </c>
      <c r="K44" s="419" t="s">
        <v>440</v>
      </c>
      <c r="L44" s="419" t="s">
        <v>415</v>
      </c>
      <c r="Q44" s="570"/>
      <c r="R44" s="470"/>
      <c r="S44" s="422"/>
      <c r="T44" s="395"/>
      <c r="U44" s="485"/>
      <c r="V44" s="395" t="s">
        <v>475</v>
      </c>
      <c r="W44" s="395" t="s">
        <v>476</v>
      </c>
      <c r="X44" s="395" t="s">
        <v>475</v>
      </c>
      <c r="Y44" s="395" t="s">
        <v>476</v>
      </c>
      <c r="Z44" s="220" t="s">
        <v>443</v>
      </c>
      <c r="AA44" s="220" t="s">
        <v>444</v>
      </c>
      <c r="AB44" s="220"/>
      <c r="AC44" s="395"/>
      <c r="AD44" s="294"/>
      <c r="AE44" s="294"/>
      <c r="AF44" s="294"/>
      <c r="AG44" s="294"/>
      <c r="AH44" s="294"/>
      <c r="AI44" s="294"/>
      <c r="AJ44" s="294"/>
      <c r="AK44" s="294"/>
      <c r="AL44" s="294"/>
      <c r="AM44" s="294"/>
      <c r="AN44" s="294"/>
      <c r="AO44" s="294"/>
      <c r="AP44" s="294"/>
      <c r="AQ44" s="294"/>
      <c r="AR44" s="294"/>
      <c r="AS44" s="294"/>
      <c r="AT44" s="395" t="s">
        <v>475</v>
      </c>
      <c r="AU44" s="395" t="s">
        <v>476</v>
      </c>
      <c r="AV44" s="395" t="s">
        <v>475</v>
      </c>
      <c r="AW44" s="395" t="s">
        <v>476</v>
      </c>
      <c r="AX44" s="220" t="s">
        <v>443</v>
      </c>
      <c r="AY44" s="220" t="s">
        <v>444</v>
      </c>
      <c r="AZ44" s="220"/>
      <c r="BA44" s="395"/>
      <c r="BB44" s="482"/>
      <c r="BC44" s="138"/>
      <c r="BI44" s="42" t="n">
        <v>14</v>
      </c>
    </row>
    <row r="45" s="124" customFormat="true" ht="14.35" hidden="false" customHeight="false" outlineLevel="0" collapsed="false">
      <c r="A45" s="144"/>
      <c r="B45" s="144"/>
      <c r="C45" s="144"/>
      <c r="D45" s="144"/>
      <c r="E45" s="144"/>
      <c r="F45" s="144"/>
      <c r="G45" s="144"/>
      <c r="H45" s="144"/>
      <c r="I45" s="144"/>
      <c r="J45" s="144"/>
      <c r="K45" s="144"/>
      <c r="L45" s="419"/>
      <c r="M45" s="53"/>
      <c r="N45" s="53"/>
      <c r="O45" s="53"/>
      <c r="P45" s="515"/>
      <c r="Q45" s="488"/>
      <c r="R45" s="488" t="n">
        <v>1</v>
      </c>
      <c r="S45" s="489" t="s">
        <v>107</v>
      </c>
      <c r="T45" s="490" t="s">
        <v>108</v>
      </c>
      <c r="U45" s="491" t="str">
        <f aca="true">OFFSET(U45,0,-1)</f>
        <v>2</v>
      </c>
      <c r="V45" s="492" t="n">
        <f aca="true">OFFSET(V45,0,-1)+1</f>
        <v>3</v>
      </c>
      <c r="W45" s="492" t="n">
        <f aca="true">OFFSET(W45,0,-1)+1</f>
        <v>4</v>
      </c>
      <c r="X45" s="492" t="n">
        <f aca="true">OFFSET(X45,0,-1)+1</f>
        <v>5</v>
      </c>
      <c r="Y45" s="492" t="n">
        <f aca="true">OFFSET(Y45,0,-1)+1</f>
        <v>6</v>
      </c>
      <c r="Z45" s="492" t="n">
        <f aca="true">OFFSET(Z45,0,-1)+1</f>
        <v>7</v>
      </c>
      <c r="AA45" s="492" t="n">
        <f aca="true">OFFSET(AA45,0,-1)+1</f>
        <v>8</v>
      </c>
      <c r="AB45" s="492"/>
      <c r="AC45" s="492" t="n">
        <f aca="true">OFFSET(AC45,0,-2)+1</f>
        <v>9</v>
      </c>
      <c r="AD45" s="492" t="n">
        <f aca="true">OFFSET(AD45,0,-1)+1</f>
        <v>10</v>
      </c>
      <c r="AE45" s="492"/>
      <c r="AF45" s="492"/>
      <c r="AG45" s="492"/>
      <c r="AH45" s="492"/>
      <c r="AI45" s="492"/>
      <c r="AJ45" s="492"/>
      <c r="AK45" s="492"/>
      <c r="AL45" s="492"/>
      <c r="AM45" s="492"/>
      <c r="AN45" s="492"/>
      <c r="AO45" s="492"/>
      <c r="AP45" s="492"/>
      <c r="AQ45" s="492"/>
      <c r="AR45" s="492"/>
      <c r="AS45" s="492"/>
      <c r="AT45" s="492"/>
      <c r="AU45" s="492"/>
      <c r="AV45" s="492"/>
      <c r="AW45" s="492" t="n">
        <f aca="true">OFFSET(AW45,0,-1)+1</f>
        <v>1</v>
      </c>
      <c r="AX45" s="492" t="n">
        <f aca="true">OFFSET(AX45,0,-1)+1</f>
        <v>2</v>
      </c>
      <c r="AY45" s="492" t="n">
        <f aca="true">OFFSET(AY45,0,-1)+1</f>
        <v>3</v>
      </c>
      <c r="AZ45" s="492"/>
      <c r="BA45" s="492" t="n">
        <f aca="true">OFFSET(BA45,0,-2)+1</f>
        <v>4</v>
      </c>
      <c r="BB45" s="491" t="n">
        <f aca="true">OFFSET(BB45,0,-1)</f>
        <v>4</v>
      </c>
      <c r="BC45" s="492" t="n">
        <f aca="true">OFFSET(BC45,0,-1)+1</f>
        <v>5</v>
      </c>
      <c r="BD45" s="49"/>
      <c r="BE45" s="49"/>
      <c r="BF45" s="49"/>
      <c r="BG45" s="49"/>
      <c r="BH45" s="49"/>
      <c r="BI45" s="124" t="n">
        <v>0</v>
      </c>
    </row>
    <row r="46" customFormat="false" ht="21.75" hidden="false" customHeight="true" outlineLevel="0" collapsed="false">
      <c r="A46" s="417" t="s">
        <v>258</v>
      </c>
      <c r="B46" s="417"/>
      <c r="C46" s="417"/>
      <c r="D46" s="417"/>
      <c r="E46" s="418" t="n">
        <v>1</v>
      </c>
      <c r="F46" s="417"/>
      <c r="G46" s="417"/>
      <c r="H46" s="417"/>
      <c r="I46" s="417"/>
      <c r="J46" s="417"/>
      <c r="K46" s="417"/>
      <c r="L46" s="419"/>
      <c r="M46" s="420"/>
      <c r="N46" s="420"/>
      <c r="O46" s="420"/>
      <c r="Q46" s="56"/>
      <c r="R46" s="421"/>
      <c r="S46" s="422" t="n">
        <f aca="false">INDEX(PT_DIFFERENTIATION_NUM_NTAR,MATCH(A46,PT_DIFFERENTIATION_NTAR_ID,0))</f>
        <v>0</v>
      </c>
      <c r="T46" s="423" t="s">
        <v>122</v>
      </c>
      <c r="U46" s="424"/>
      <c r="V46" s="591"/>
      <c r="W46" s="591"/>
      <c r="X46" s="591"/>
      <c r="Y46" s="591"/>
      <c r="Z46" s="591"/>
      <c r="AA46" s="591"/>
      <c r="AB46" s="591"/>
      <c r="AC46" s="591"/>
      <c r="AD46" s="426" t="str">
        <f aca="false">INDEX(PT_DIFFERENTIATION_NTAR,MATCH(A46,PT_DIFFERENTIATION_NTAR_ID,0))</f>
        <v/>
      </c>
      <c r="AE46" s="426"/>
      <c r="AF46" s="426"/>
      <c r="AG46" s="426"/>
      <c r="AH46" s="426"/>
      <c r="AI46" s="426"/>
      <c r="AJ46" s="426"/>
      <c r="AK46" s="426"/>
      <c r="AL46" s="426"/>
      <c r="AM46" s="426"/>
      <c r="AN46" s="426"/>
      <c r="AO46" s="426"/>
      <c r="AP46" s="426"/>
      <c r="AQ46" s="426"/>
      <c r="AR46" s="426"/>
      <c r="AS46" s="426"/>
      <c r="AT46" s="426"/>
      <c r="AU46" s="426"/>
      <c r="AV46" s="426"/>
      <c r="AW46" s="426"/>
      <c r="AX46" s="426"/>
      <c r="AY46" s="426"/>
      <c r="AZ46" s="426"/>
      <c r="BA46" s="426"/>
      <c r="BB46" s="426"/>
      <c r="BC46" s="427"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2"/>
      <c r="BF46" s="122" t="str">
        <f aca="false">IF(T46="","",T46)</f>
        <v>Наименование тарифа</v>
      </c>
      <c r="BG46" s="122"/>
      <c r="BH46" s="122"/>
      <c r="BI46" s="42" t="n">
        <v>21</v>
      </c>
    </row>
    <row r="47" customFormat="false" ht="21.75" hidden="false" customHeight="true" outlineLevel="0" collapsed="false">
      <c r="A47" s="417" t="s">
        <v>258</v>
      </c>
      <c r="B47" s="417" t="s">
        <v>259</v>
      </c>
      <c r="C47" s="417"/>
      <c r="D47" s="417"/>
      <c r="E47" s="418"/>
      <c r="F47" s="418" t="n">
        <v>1</v>
      </c>
      <c r="G47" s="417"/>
      <c r="H47" s="417"/>
      <c r="I47" s="417"/>
      <c r="J47" s="417"/>
      <c r="K47" s="417"/>
      <c r="L47" s="419"/>
      <c r="M47" s="420"/>
      <c r="N47" s="420"/>
      <c r="O47" s="420"/>
      <c r="P47" s="107"/>
      <c r="Q47" s="542"/>
      <c r="R47" s="429"/>
      <c r="S47" s="422" t="str">
        <f aca="false">INDEX(PT_DIFFERENTIATION_NUM_TER,MATCH(B47,PT_DIFFERENTIATION_TER_ID,0))</f>
        <v>.</v>
      </c>
      <c r="T47" s="430" t="s">
        <v>394</v>
      </c>
      <c r="U47" s="424"/>
      <c r="V47" s="591"/>
      <c r="W47" s="591"/>
      <c r="X47" s="591"/>
      <c r="Y47" s="591"/>
      <c r="Z47" s="591"/>
      <c r="AA47" s="591"/>
      <c r="AB47" s="591"/>
      <c r="AC47" s="591"/>
      <c r="AD47" s="426" t="str">
        <f aca="false">INDEX(PT_DIFFERENTIATION_TER,MATCH(B47,PT_DIFFERENTIATION_TER_ID,0))</f>
        <v/>
      </c>
      <c r="AE47" s="426"/>
      <c r="AF47" s="426"/>
      <c r="AG47" s="426"/>
      <c r="AH47" s="426"/>
      <c r="AI47" s="426"/>
      <c r="AJ47" s="426"/>
      <c r="AK47" s="426"/>
      <c r="AL47" s="426"/>
      <c r="AM47" s="426"/>
      <c r="AN47" s="426"/>
      <c r="AO47" s="426"/>
      <c r="AP47" s="426"/>
      <c r="AQ47" s="426"/>
      <c r="AR47" s="426"/>
      <c r="AS47" s="426"/>
      <c r="AT47" s="426"/>
      <c r="AU47" s="426"/>
      <c r="AV47" s="426"/>
      <c r="AW47" s="426"/>
      <c r="AX47" s="426"/>
      <c r="AY47" s="426"/>
      <c r="AZ47" s="426"/>
      <c r="BA47" s="426"/>
      <c r="BB47" s="426"/>
      <c r="BC47" s="427" t="s">
        <v>395</v>
      </c>
      <c r="BE47" s="122"/>
      <c r="BF47" s="122" t="str">
        <f aca="false">IF(T47="","",T47)</f>
        <v>Территория действия тарифа</v>
      </c>
      <c r="BG47" s="122"/>
      <c r="BH47" s="122"/>
      <c r="BI47" s="42" t="n">
        <v>21</v>
      </c>
    </row>
    <row r="48" customFormat="false" ht="35.25" hidden="false" customHeight="true" outlineLevel="0" collapsed="false">
      <c r="A48" s="417" t="s">
        <v>258</v>
      </c>
      <c r="B48" s="417" t="s">
        <v>259</v>
      </c>
      <c r="C48" s="417" t="s">
        <v>260</v>
      </c>
      <c r="D48" s="417"/>
      <c r="E48" s="418"/>
      <c r="F48" s="418"/>
      <c r="G48" s="418" t="n">
        <v>1</v>
      </c>
      <c r="H48" s="417"/>
      <c r="I48" s="417"/>
      <c r="J48" s="417"/>
      <c r="K48" s="417"/>
      <c r="L48" s="419"/>
      <c r="M48" s="420"/>
      <c r="N48" s="420"/>
      <c r="O48" s="420"/>
      <c r="P48" s="131"/>
      <c r="Q48" s="542"/>
      <c r="R48" s="429"/>
      <c r="S48" s="422" t="str">
        <f aca="false">INDEX(PT_DIFFERENTIATION_NUM_CS,MATCH(C48,PT_DIFFERENTIATION_CS_ID,0))</f>
        <v>..</v>
      </c>
      <c r="T48" s="432" t="s">
        <v>527</v>
      </c>
      <c r="U48" s="424"/>
      <c r="V48" s="591"/>
      <c r="W48" s="591"/>
      <c r="X48" s="591"/>
      <c r="Y48" s="591"/>
      <c r="Z48" s="591"/>
      <c r="AA48" s="591"/>
      <c r="AB48" s="591"/>
      <c r="AC48" s="591"/>
      <c r="AD48" s="426" t="str">
        <f aca="false">INDEX(PT_DIFFERENTIATION_CS,MATCH(C48,PT_DIFFERENTIATION_CS_ID,0))</f>
        <v/>
      </c>
      <c r="AE48" s="426"/>
      <c r="AF48" s="426"/>
      <c r="AG48" s="426"/>
      <c r="AH48" s="426"/>
      <c r="AI48" s="426"/>
      <c r="AJ48" s="426"/>
      <c r="AK48" s="426"/>
      <c r="AL48" s="426"/>
      <c r="AM48" s="426"/>
      <c r="AN48" s="426"/>
      <c r="AO48" s="426"/>
      <c r="AP48" s="426"/>
      <c r="AQ48" s="426"/>
      <c r="AR48" s="426"/>
      <c r="AS48" s="426"/>
      <c r="AT48" s="426"/>
      <c r="AU48" s="426"/>
      <c r="AV48" s="426"/>
      <c r="AW48" s="426"/>
      <c r="AX48" s="426"/>
      <c r="AY48" s="426"/>
      <c r="AZ48" s="426"/>
      <c r="BA48" s="426"/>
      <c r="BB48" s="426"/>
      <c r="BC48" s="427" t="s">
        <v>528</v>
      </c>
      <c r="BE48" s="122"/>
      <c r="BF48" s="122" t="str">
        <f aca="false">IF(T48="","",T48)</f>
        <v>Наименование централизованной системы горячего водоснабжения</v>
      </c>
      <c r="BG48" s="122"/>
      <c r="BH48" s="122"/>
      <c r="BI48" s="42" t="n">
        <v>34</v>
      </c>
    </row>
    <row r="49" s="49" customFormat="true" ht="14.35" hidden="false" customHeight="false" outlineLevel="0" collapsed="false">
      <c r="A49" s="126" t="s">
        <v>258</v>
      </c>
      <c r="B49" s="126" t="s">
        <v>259</v>
      </c>
      <c r="C49" s="126" t="s">
        <v>260</v>
      </c>
      <c r="D49" s="126" t="s">
        <v>541</v>
      </c>
      <c r="E49" s="418"/>
      <c r="F49" s="418"/>
      <c r="G49" s="418"/>
      <c r="H49" s="418" t="n">
        <v>1</v>
      </c>
      <c r="I49" s="126"/>
      <c r="J49" s="126"/>
      <c r="K49" s="126"/>
      <c r="L49" s="194"/>
      <c r="M49" s="402"/>
      <c r="N49" s="402"/>
      <c r="O49" s="402"/>
      <c r="P49" s="601"/>
      <c r="Q49" s="602"/>
      <c r="R49" s="438"/>
      <c r="S49" s="299"/>
      <c r="T49" s="603"/>
      <c r="U49" s="508"/>
      <c r="V49" s="543"/>
      <c r="W49" s="543"/>
      <c r="X49" s="543"/>
      <c r="Y49" s="543"/>
      <c r="Z49" s="543"/>
      <c r="AA49" s="543"/>
      <c r="AB49" s="543"/>
      <c r="AC49" s="543"/>
      <c r="AD49" s="509"/>
      <c r="AE49" s="509"/>
      <c r="AF49" s="509"/>
      <c r="AG49" s="509"/>
      <c r="AH49" s="509"/>
      <c r="AI49" s="509"/>
      <c r="AJ49" s="509"/>
      <c r="AK49" s="509"/>
      <c r="AL49" s="509"/>
      <c r="AM49" s="509"/>
      <c r="AN49" s="509"/>
      <c r="AO49" s="509"/>
      <c r="AP49" s="509"/>
      <c r="AQ49" s="509"/>
      <c r="AR49" s="509"/>
      <c r="AS49" s="509"/>
      <c r="AT49" s="509"/>
      <c r="AU49" s="509"/>
      <c r="AV49" s="509"/>
      <c r="AW49" s="509"/>
      <c r="AX49" s="509"/>
      <c r="AY49" s="509"/>
      <c r="AZ49" s="509"/>
      <c r="BA49" s="509"/>
      <c r="BB49" s="509"/>
      <c r="BC49" s="510" t="s">
        <v>399</v>
      </c>
      <c r="BE49" s="122"/>
      <c r="BF49" s="122" t="str">
        <f aca="false">IF(T49="","",T49)</f>
        <v/>
      </c>
      <c r="BG49" s="122"/>
      <c r="BH49" s="122"/>
      <c r="BI49" s="49" t="n">
        <v>0</v>
      </c>
    </row>
    <row r="50" s="49" customFormat="true" ht="14.35" hidden="false" customHeight="false" outlineLevel="0" collapsed="false">
      <c r="A50" s="126" t="s">
        <v>258</v>
      </c>
      <c r="B50" s="126" t="s">
        <v>259</v>
      </c>
      <c r="C50" s="126" t="s">
        <v>260</v>
      </c>
      <c r="D50" s="126" t="s">
        <v>541</v>
      </c>
      <c r="E50" s="418"/>
      <c r="F50" s="418"/>
      <c r="G50" s="418"/>
      <c r="H50" s="418"/>
      <c r="I50" s="434" t="str">
        <f aca="false">S49&amp;".1"</f>
        <v>.1</v>
      </c>
      <c r="J50" s="126"/>
      <c r="K50" s="126"/>
      <c r="L50" s="194" t="s">
        <v>400</v>
      </c>
      <c r="M50" s="515"/>
      <c r="N50" s="515"/>
      <c r="O50" s="515"/>
      <c r="P50" s="125" t="n">
        <v>1</v>
      </c>
      <c r="Q50" s="125"/>
      <c r="R50" s="435"/>
      <c r="S50" s="299"/>
      <c r="T50" s="507"/>
      <c r="U50" s="508"/>
      <c r="V50" s="543"/>
      <c r="W50" s="543"/>
      <c r="X50" s="543"/>
      <c r="Y50" s="543"/>
      <c r="Z50" s="543"/>
      <c r="AA50" s="543"/>
      <c r="AB50" s="543"/>
      <c r="AC50" s="543"/>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10"/>
      <c r="BE50" s="122"/>
      <c r="BF50" s="122" t="str">
        <f aca="false">IF(T50="","",T50)</f>
        <v/>
      </c>
      <c r="BG50" s="122"/>
      <c r="BH50" s="122"/>
      <c r="BI50" s="49" t="n">
        <v>0</v>
      </c>
    </row>
    <row r="51" s="49" customFormat="true" ht="14.35" hidden="false" customHeight="false" outlineLevel="0" collapsed="false">
      <c r="A51" s="126" t="s">
        <v>258</v>
      </c>
      <c r="B51" s="126" t="s">
        <v>259</v>
      </c>
      <c r="C51" s="126" t="s">
        <v>260</v>
      </c>
      <c r="D51" s="126" t="s">
        <v>541</v>
      </c>
      <c r="E51" s="418"/>
      <c r="F51" s="418"/>
      <c r="G51" s="418"/>
      <c r="H51" s="418"/>
      <c r="I51" s="434"/>
      <c r="J51" s="434" t="str">
        <f aca="false">S49&amp;".1"</f>
        <v>.1</v>
      </c>
      <c r="K51" s="126"/>
      <c r="L51" s="194"/>
      <c r="M51" s="515"/>
      <c r="N51" s="515"/>
      <c r="O51" s="515"/>
      <c r="P51" s="125"/>
      <c r="Q51" s="125" t="n">
        <v>1</v>
      </c>
      <c r="R51" s="438"/>
      <c r="S51" s="299"/>
      <c r="T51" s="544"/>
      <c r="U51" s="508"/>
      <c r="V51" s="543"/>
      <c r="W51" s="543"/>
      <c r="X51" s="543"/>
      <c r="Y51" s="543"/>
      <c r="Z51" s="543"/>
      <c r="AA51" s="543"/>
      <c r="AB51" s="543"/>
      <c r="AC51" s="543"/>
      <c r="AD51" s="509"/>
      <c r="AE51" s="509"/>
      <c r="AF51" s="509"/>
      <c r="AG51" s="509"/>
      <c r="AH51" s="509"/>
      <c r="AI51" s="509"/>
      <c r="AJ51" s="509"/>
      <c r="AK51" s="509"/>
      <c r="AL51" s="509"/>
      <c r="AM51" s="509"/>
      <c r="AN51" s="509"/>
      <c r="AO51" s="509"/>
      <c r="AP51" s="509"/>
      <c r="AQ51" s="509"/>
      <c r="AR51" s="509"/>
      <c r="AS51" s="509"/>
      <c r="AT51" s="509"/>
      <c r="AU51" s="509"/>
      <c r="AV51" s="509"/>
      <c r="AW51" s="509"/>
      <c r="AX51" s="509"/>
      <c r="AY51" s="509"/>
      <c r="AZ51" s="509"/>
      <c r="BA51" s="509"/>
      <c r="BB51" s="509"/>
      <c r="BC51" s="510"/>
      <c r="BE51" s="122"/>
      <c r="BF51" s="122" t="str">
        <f aca="false">IF(T51="","",T51)</f>
        <v/>
      </c>
      <c r="BG51" s="122"/>
      <c r="BH51" s="122"/>
      <c r="BI51" s="49" t="n">
        <v>0</v>
      </c>
    </row>
    <row r="52" customFormat="false" ht="11.25" hidden="false" customHeight="true" outlineLevel="0" collapsed="false">
      <c r="A52" s="417" t="s">
        <v>258</v>
      </c>
      <c r="B52" s="417" t="s">
        <v>259</v>
      </c>
      <c r="C52" s="417" t="s">
        <v>260</v>
      </c>
      <c r="D52" s="417" t="s">
        <v>541</v>
      </c>
      <c r="E52" s="418"/>
      <c r="F52" s="418"/>
      <c r="G52" s="418"/>
      <c r="H52" s="418"/>
      <c r="I52" s="434"/>
      <c r="J52" s="434"/>
      <c r="K52" s="434" t="str">
        <f aca="false">S48&amp;".1"</f>
        <v>...1</v>
      </c>
      <c r="L52" s="419"/>
      <c r="P52" s="125"/>
      <c r="Q52" s="125"/>
      <c r="R52" s="438" t="n">
        <v>1</v>
      </c>
      <c r="S52" s="480" t="str">
        <f aca="false">$K52</f>
        <v>...1</v>
      </c>
      <c r="T52" s="582"/>
      <c r="U52" s="424"/>
      <c r="V52" s="441"/>
      <c r="W52" s="443"/>
      <c r="X52" s="441"/>
      <c r="Y52" s="443"/>
      <c r="Z52" s="444"/>
      <c r="AA52" s="206" t="s">
        <v>64</v>
      </c>
      <c r="AB52" s="444"/>
      <c r="AC52" s="206" t="s">
        <v>64</v>
      </c>
      <c r="AD52" s="206" t="s">
        <v>64</v>
      </c>
      <c r="AE52" s="547"/>
      <c r="AF52" s="295" t="n">
        <v>1</v>
      </c>
      <c r="AG52" s="595"/>
      <c r="AH52" s="206" t="s">
        <v>64</v>
      </c>
      <c r="AI52" s="547"/>
      <c r="AJ52" s="295" t="n">
        <v>1</v>
      </c>
      <c r="AK52" s="78"/>
      <c r="AL52" s="206" t="s">
        <v>64</v>
      </c>
      <c r="AM52" s="505"/>
      <c r="AN52" s="295" t="n">
        <v>1</v>
      </c>
      <c r="AO52" s="604"/>
      <c r="AP52" s="605" t="s">
        <v>64</v>
      </c>
      <c r="AQ52" s="548"/>
      <c r="AR52" s="295" t="n">
        <v>1</v>
      </c>
      <c r="AS52" s="87"/>
      <c r="AT52" s="441"/>
      <c r="AU52" s="443"/>
      <c r="AV52" s="441"/>
      <c r="AW52" s="443"/>
      <c r="AX52" s="444"/>
      <c r="AY52" s="206" t="s">
        <v>64</v>
      </c>
      <c r="AZ52" s="444"/>
      <c r="BA52" s="206" t="s">
        <v>64</v>
      </c>
      <c r="BB52" s="493"/>
      <c r="BC52" s="445" t="s">
        <v>498</v>
      </c>
      <c r="BE52" s="122"/>
      <c r="BF52" s="122" t="str">
        <f aca="false">IF(T52="","",T52)</f>
        <v/>
      </c>
      <c r="BG52" s="122"/>
      <c r="BH52" s="122"/>
      <c r="BI52" s="42" t="n">
        <v>11</v>
      </c>
    </row>
    <row r="53" customFormat="false" ht="11.25" hidden="false" customHeight="true" outlineLevel="0" collapsed="false">
      <c r="A53" s="417"/>
      <c r="B53" s="417"/>
      <c r="C53" s="417"/>
      <c r="D53" s="417"/>
      <c r="E53" s="418"/>
      <c r="F53" s="418"/>
      <c r="G53" s="418"/>
      <c r="H53" s="418"/>
      <c r="I53" s="434"/>
      <c r="J53" s="434"/>
      <c r="K53" s="434"/>
      <c r="L53" s="419"/>
      <c r="P53" s="125"/>
      <c r="Q53" s="125"/>
      <c r="R53" s="438"/>
      <c r="S53" s="480"/>
      <c r="T53" s="582"/>
      <c r="U53" s="424"/>
      <c r="V53" s="537"/>
      <c r="W53" s="551"/>
      <c r="X53" s="537"/>
      <c r="Y53" s="551"/>
      <c r="Z53" s="537"/>
      <c r="AA53" s="537"/>
      <c r="AB53" s="537"/>
      <c r="AC53" s="537"/>
      <c r="AD53" s="206"/>
      <c r="AE53" s="547"/>
      <c r="AF53" s="295"/>
      <c r="AG53" s="595"/>
      <c r="AH53" s="206"/>
      <c r="AI53" s="547"/>
      <c r="AJ53" s="295"/>
      <c r="AK53" s="78"/>
      <c r="AL53" s="206"/>
      <c r="AM53" s="505"/>
      <c r="AN53" s="295"/>
      <c r="AO53" s="604"/>
      <c r="AP53" s="605"/>
      <c r="AQ53" s="550"/>
      <c r="AR53" s="170"/>
      <c r="AS53" s="170" t="s">
        <v>499</v>
      </c>
      <c r="AT53" s="537"/>
      <c r="AU53" s="551"/>
      <c r="AV53" s="537"/>
      <c r="AW53" s="551"/>
      <c r="AX53" s="537"/>
      <c r="AY53" s="537"/>
      <c r="AZ53" s="537"/>
      <c r="BA53" s="537"/>
      <c r="BB53" s="549"/>
      <c r="BC53" s="445"/>
      <c r="BE53" s="122"/>
      <c r="BF53" s="122"/>
      <c r="BG53" s="122"/>
      <c r="BH53" s="122"/>
      <c r="BI53" s="42" t="n">
        <v>11</v>
      </c>
    </row>
    <row r="54" customFormat="false" ht="11.25" hidden="false" customHeight="true" outlineLevel="0" collapsed="false">
      <c r="A54" s="417" t="s">
        <v>258</v>
      </c>
      <c r="B54" s="417"/>
      <c r="C54" s="417"/>
      <c r="D54" s="417"/>
      <c r="E54" s="418"/>
      <c r="F54" s="418"/>
      <c r="G54" s="418"/>
      <c r="H54" s="418"/>
      <c r="I54" s="434"/>
      <c r="J54" s="434"/>
      <c r="K54" s="434"/>
      <c r="L54" s="419"/>
      <c r="P54" s="125"/>
      <c r="Q54" s="125"/>
      <c r="R54" s="438"/>
      <c r="S54" s="480"/>
      <c r="T54" s="582"/>
      <c r="U54" s="424"/>
      <c r="V54" s="537"/>
      <c r="W54" s="551"/>
      <c r="X54" s="537"/>
      <c r="Y54" s="551"/>
      <c r="Z54" s="537"/>
      <c r="AA54" s="537"/>
      <c r="AB54" s="537"/>
      <c r="AC54" s="537"/>
      <c r="AD54" s="206"/>
      <c r="AE54" s="547"/>
      <c r="AF54" s="295"/>
      <c r="AG54" s="595"/>
      <c r="AH54" s="206"/>
      <c r="AI54" s="547"/>
      <c r="AJ54" s="295"/>
      <c r="AK54" s="78"/>
      <c r="AL54" s="206"/>
      <c r="AM54" s="550"/>
      <c r="AN54" s="606"/>
      <c r="AO54" s="606" t="s">
        <v>500</v>
      </c>
      <c r="AP54" s="170"/>
      <c r="AQ54" s="170"/>
      <c r="AR54" s="170"/>
      <c r="AS54" s="537"/>
      <c r="AT54" s="537"/>
      <c r="AU54" s="551"/>
      <c r="AV54" s="537"/>
      <c r="AW54" s="551"/>
      <c r="AX54" s="537"/>
      <c r="AY54" s="537"/>
      <c r="AZ54" s="537"/>
      <c r="BA54" s="537"/>
      <c r="BB54" s="549"/>
      <c r="BC54" s="445"/>
      <c r="BE54" s="122"/>
      <c r="BF54" s="122"/>
      <c r="BG54" s="122"/>
      <c r="BH54" s="122"/>
      <c r="BI54" s="42" t="n">
        <v>11</v>
      </c>
    </row>
    <row r="55" customFormat="false" ht="11.25" hidden="false" customHeight="true" outlineLevel="0" collapsed="false">
      <c r="A55" s="417" t="s">
        <v>258</v>
      </c>
      <c r="B55" s="417"/>
      <c r="C55" s="417"/>
      <c r="D55" s="417"/>
      <c r="E55" s="418"/>
      <c r="F55" s="418"/>
      <c r="G55" s="418"/>
      <c r="H55" s="418"/>
      <c r="I55" s="434"/>
      <c r="J55" s="434"/>
      <c r="K55" s="434"/>
      <c r="L55" s="419"/>
      <c r="P55" s="125"/>
      <c r="Q55" s="125"/>
      <c r="R55" s="438"/>
      <c r="S55" s="480"/>
      <c r="T55" s="582"/>
      <c r="U55" s="424"/>
      <c r="V55" s="537"/>
      <c r="W55" s="551"/>
      <c r="X55" s="537"/>
      <c r="Y55" s="551"/>
      <c r="Z55" s="537"/>
      <c r="AA55" s="537"/>
      <c r="AB55" s="537"/>
      <c r="AC55" s="537"/>
      <c r="AD55" s="206"/>
      <c r="AE55" s="547"/>
      <c r="AF55" s="295"/>
      <c r="AG55" s="595"/>
      <c r="AH55" s="206"/>
      <c r="AI55" s="553"/>
      <c r="AJ55" s="165"/>
      <c r="AK55" s="382" t="s">
        <v>501</v>
      </c>
      <c r="AL55" s="537"/>
      <c r="AM55" s="537"/>
      <c r="AN55" s="537"/>
      <c r="AO55" s="537"/>
      <c r="AP55" s="537"/>
      <c r="AQ55" s="537"/>
      <c r="AR55" s="537"/>
      <c r="AS55" s="537"/>
      <c r="AT55" s="537"/>
      <c r="AU55" s="551"/>
      <c r="AV55" s="537"/>
      <c r="AW55" s="551"/>
      <c r="AX55" s="537"/>
      <c r="AY55" s="537"/>
      <c r="AZ55" s="537"/>
      <c r="BA55" s="537"/>
      <c r="BB55" s="549"/>
      <c r="BC55" s="445"/>
      <c r="BE55" s="122"/>
      <c r="BF55" s="122"/>
      <c r="BG55" s="122"/>
      <c r="BH55" s="122"/>
      <c r="BI55" s="42" t="n">
        <v>11</v>
      </c>
    </row>
    <row r="56" customFormat="false" ht="11.25" hidden="false" customHeight="true" outlineLevel="0" collapsed="false">
      <c r="A56" s="417" t="s">
        <v>258</v>
      </c>
      <c r="B56" s="417" t="s">
        <v>259</v>
      </c>
      <c r="C56" s="417" t="s">
        <v>260</v>
      </c>
      <c r="D56" s="417" t="s">
        <v>541</v>
      </c>
      <c r="E56" s="418"/>
      <c r="F56" s="418"/>
      <c r="G56" s="418"/>
      <c r="H56" s="418"/>
      <c r="I56" s="434"/>
      <c r="J56" s="434"/>
      <c r="K56" s="434"/>
      <c r="L56" s="419"/>
      <c r="P56" s="125"/>
      <c r="Q56" s="125"/>
      <c r="R56" s="438"/>
      <c r="S56" s="480"/>
      <c r="T56" s="582"/>
      <c r="U56" s="424"/>
      <c r="V56" s="537"/>
      <c r="W56" s="538" t="str">
        <f aca="false">Z52&amp;"-"&amp;AB52</f>
        <v>-</v>
      </c>
      <c r="X56" s="537"/>
      <c r="Y56" s="538" t="str">
        <f aca="false">AB52&amp;"-"&amp;AD52</f>
        <v>-да</v>
      </c>
      <c r="Z56" s="537"/>
      <c r="AA56" s="537"/>
      <c r="AB56" s="537"/>
      <c r="AC56" s="537"/>
      <c r="AD56" s="206"/>
      <c r="AE56" s="555"/>
      <c r="AF56" s="556"/>
      <c r="AG56" s="170" t="s">
        <v>502</v>
      </c>
      <c r="AH56" s="537"/>
      <c r="AI56" s="537"/>
      <c r="AJ56" s="537"/>
      <c r="AK56" s="537"/>
      <c r="AL56" s="537"/>
      <c r="AM56" s="537"/>
      <c r="AN56" s="537"/>
      <c r="AO56" s="537"/>
      <c r="AP56" s="537"/>
      <c r="AQ56" s="537"/>
      <c r="AR56" s="537"/>
      <c r="AS56" s="537"/>
      <c r="AT56" s="537"/>
      <c r="AU56" s="538" t="str">
        <f aca="false">AX52&amp;"-"&amp;AZ52</f>
        <v>-</v>
      </c>
      <c r="AV56" s="537"/>
      <c r="AW56" s="538" t="str">
        <f aca="false">AZ52&amp;"-"&amp;BB52</f>
        <v>-</v>
      </c>
      <c r="AX56" s="537"/>
      <c r="AY56" s="537"/>
      <c r="AZ56" s="537"/>
      <c r="BA56" s="537"/>
      <c r="BB56" s="554" t="str">
        <f aca="false">BE52&amp;"-"&amp;BG52</f>
        <v>-</v>
      </c>
      <c r="BC56" s="445"/>
      <c r="BE56" s="122"/>
      <c r="BF56" s="122" t="str">
        <f aca="false">IF(T56="","",T56)</f>
        <v/>
      </c>
      <c r="BG56" s="122"/>
      <c r="BH56" s="122"/>
      <c r="BI56" s="42" t="n">
        <v>11</v>
      </c>
    </row>
    <row r="57" customFormat="false" ht="11.25" hidden="false" customHeight="true" outlineLevel="0" collapsed="false">
      <c r="A57" s="417" t="s">
        <v>258</v>
      </c>
      <c r="B57" s="417" t="s">
        <v>259</v>
      </c>
      <c r="C57" s="417" t="s">
        <v>260</v>
      </c>
      <c r="D57" s="417" t="s">
        <v>541</v>
      </c>
      <c r="E57" s="418"/>
      <c r="F57" s="418"/>
      <c r="G57" s="418"/>
      <c r="H57" s="418"/>
      <c r="I57" s="434"/>
      <c r="J57" s="434"/>
      <c r="K57" s="417"/>
      <c r="L57" s="419"/>
      <c r="P57" s="125"/>
      <c r="Q57" s="125"/>
      <c r="R57" s="435"/>
      <c r="S57" s="447"/>
      <c r="T57" s="450" t="s">
        <v>465</v>
      </c>
      <c r="U57" s="196"/>
      <c r="V57" s="196"/>
      <c r="W57" s="196"/>
      <c r="X57" s="196"/>
      <c r="Y57" s="196"/>
      <c r="Z57" s="196"/>
      <c r="AA57" s="196"/>
      <c r="AB57" s="196"/>
      <c r="AC57" s="449"/>
      <c r="AD57" s="578"/>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449"/>
      <c r="BC57" s="445"/>
      <c r="BE57" s="122"/>
      <c r="BF57" s="122" t="str">
        <f aca="false">IF(T57="","",T57)</f>
        <v>Добавить строку</v>
      </c>
      <c r="BG57" s="122"/>
      <c r="BH57" s="122"/>
      <c r="BI57" s="42" t="n">
        <v>11</v>
      </c>
    </row>
    <row r="58" s="49" customFormat="true" ht="14.35" hidden="false" customHeight="false" outlineLevel="0" collapsed="false">
      <c r="A58" s="126" t="s">
        <v>258</v>
      </c>
      <c r="B58" s="126" t="s">
        <v>259</v>
      </c>
      <c r="C58" s="126" t="s">
        <v>260</v>
      </c>
      <c r="D58" s="126" t="s">
        <v>541</v>
      </c>
      <c r="E58" s="418"/>
      <c r="F58" s="418"/>
      <c r="G58" s="418"/>
      <c r="H58" s="418"/>
      <c r="I58" s="434"/>
      <c r="J58" s="126"/>
      <c r="K58" s="126"/>
      <c r="L58" s="194"/>
      <c r="M58" s="515"/>
      <c r="N58" s="515"/>
      <c r="O58" s="515"/>
      <c r="P58" s="125"/>
      <c r="Q58" s="125"/>
      <c r="R58" s="435"/>
      <c r="S58" s="511"/>
      <c r="T58" s="512"/>
      <c r="U58" s="513"/>
      <c r="V58" s="513"/>
      <c r="W58" s="513"/>
      <c r="X58" s="513"/>
      <c r="Y58" s="513"/>
      <c r="Z58" s="513"/>
      <c r="AA58" s="513"/>
      <c r="AB58" s="513"/>
      <c r="AC58" s="513"/>
      <c r="AD58" s="513"/>
      <c r="AE58" s="513"/>
      <c r="AF58" s="513"/>
      <c r="AG58" s="513"/>
      <c r="AH58" s="513"/>
      <c r="AI58" s="513"/>
      <c r="AJ58" s="513"/>
      <c r="AK58" s="513"/>
      <c r="AL58" s="513"/>
      <c r="AM58" s="513"/>
      <c r="AN58" s="513"/>
      <c r="AO58" s="513"/>
      <c r="AP58" s="513"/>
      <c r="AQ58" s="513"/>
      <c r="AR58" s="513"/>
      <c r="AS58" s="513"/>
      <c r="AT58" s="513"/>
      <c r="AU58" s="513"/>
      <c r="AV58" s="513"/>
      <c r="AW58" s="513"/>
      <c r="AX58" s="513"/>
      <c r="AY58" s="513"/>
      <c r="AZ58" s="513"/>
      <c r="BA58" s="513"/>
      <c r="BB58" s="513"/>
      <c r="BC58" s="514"/>
      <c r="BE58" s="122"/>
      <c r="BF58" s="122" t="str">
        <f aca="false">IF(T58="","",T58)</f>
        <v/>
      </c>
      <c r="BG58" s="122"/>
      <c r="BH58" s="122"/>
      <c r="BI58" s="49" t="n">
        <v>0</v>
      </c>
    </row>
    <row r="59" s="49" customFormat="true" ht="14.35" hidden="false" customHeight="false" outlineLevel="0" collapsed="false">
      <c r="A59" s="126" t="s">
        <v>258</v>
      </c>
      <c r="B59" s="126" t="s">
        <v>259</v>
      </c>
      <c r="C59" s="126" t="s">
        <v>260</v>
      </c>
      <c r="D59" s="126" t="s">
        <v>541</v>
      </c>
      <c r="E59" s="418"/>
      <c r="F59" s="418"/>
      <c r="G59" s="418"/>
      <c r="H59" s="418"/>
      <c r="I59" s="126"/>
      <c r="J59" s="126"/>
      <c r="K59" s="126"/>
      <c r="L59" s="194"/>
      <c r="M59" s="402"/>
      <c r="N59" s="402"/>
      <c r="P59" s="160"/>
      <c r="Q59" s="455"/>
      <c r="R59" s="557"/>
      <c r="S59" s="511"/>
      <c r="T59" s="512"/>
      <c r="U59" s="513"/>
      <c r="V59" s="513"/>
      <c r="W59" s="513"/>
      <c r="X59" s="513"/>
      <c r="Y59" s="513"/>
      <c r="Z59" s="513"/>
      <c r="AA59" s="513"/>
      <c r="AB59" s="513"/>
      <c r="AC59" s="513"/>
      <c r="AD59" s="513"/>
      <c r="AE59" s="513"/>
      <c r="AF59" s="513"/>
      <c r="AG59" s="513"/>
      <c r="AH59" s="513"/>
      <c r="AI59" s="513"/>
      <c r="AJ59" s="513"/>
      <c r="AK59" s="513"/>
      <c r="AL59" s="513"/>
      <c r="AM59" s="513"/>
      <c r="AN59" s="513"/>
      <c r="AO59" s="513"/>
      <c r="AP59" s="513"/>
      <c r="AQ59" s="513"/>
      <c r="AR59" s="513"/>
      <c r="AS59" s="513"/>
      <c r="AT59" s="513"/>
      <c r="AU59" s="513"/>
      <c r="AV59" s="513"/>
      <c r="AW59" s="513"/>
      <c r="AX59" s="513"/>
      <c r="AY59" s="513"/>
      <c r="AZ59" s="513"/>
      <c r="BA59" s="513"/>
      <c r="BB59" s="513"/>
      <c r="BC59" s="514"/>
      <c r="BE59" s="122"/>
      <c r="BF59" s="122" t="str">
        <f aca="false">IF(T59="","",T59)</f>
        <v/>
      </c>
      <c r="BG59" s="122"/>
      <c r="BH59" s="122"/>
      <c r="BI59" s="49" t="n">
        <v>0</v>
      </c>
    </row>
    <row r="60" s="49" customFormat="true" ht="14.35" hidden="false" customHeight="false" outlineLevel="0" collapsed="false">
      <c r="A60" s="126" t="s">
        <v>258</v>
      </c>
      <c r="B60" s="126" t="s">
        <v>259</v>
      </c>
      <c r="C60" s="126" t="s">
        <v>260</v>
      </c>
      <c r="D60" s="126"/>
      <c r="E60" s="418"/>
      <c r="F60" s="418"/>
      <c r="G60" s="418"/>
      <c r="H60" s="126"/>
      <c r="I60" s="126"/>
      <c r="J60" s="126"/>
      <c r="K60" s="126"/>
      <c r="L60" s="194"/>
      <c r="M60" s="402"/>
      <c r="N60" s="402"/>
      <c r="P60" s="160"/>
      <c r="Q60" s="455"/>
      <c r="R60" s="160"/>
      <c r="S60" s="460"/>
      <c r="T60" s="463"/>
      <c r="U60" s="462"/>
      <c r="V60" s="462"/>
      <c r="W60" s="462"/>
      <c r="X60" s="462"/>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V60" s="462"/>
      <c r="AW60" s="462"/>
      <c r="AX60" s="462"/>
      <c r="AY60" s="462"/>
      <c r="AZ60" s="462"/>
      <c r="BA60" s="462"/>
      <c r="BB60" s="462"/>
      <c r="BC60" s="462"/>
      <c r="BE60" s="122"/>
      <c r="BF60" s="122" t="str">
        <f aca="false">IF(T60="","",T60)</f>
        <v/>
      </c>
      <c r="BG60" s="122"/>
      <c r="BH60" s="122"/>
      <c r="BI60" s="49" t="n">
        <v>0</v>
      </c>
    </row>
    <row r="61" s="49" customFormat="true" ht="14.35" hidden="false" customHeight="false" outlineLevel="0" collapsed="false">
      <c r="A61" s="126" t="s">
        <v>258</v>
      </c>
      <c r="B61" s="126" t="s">
        <v>259</v>
      </c>
      <c r="C61" s="126"/>
      <c r="D61" s="126"/>
      <c r="E61" s="418"/>
      <c r="F61" s="418"/>
      <c r="G61" s="126"/>
      <c r="H61" s="126"/>
      <c r="I61" s="126"/>
      <c r="J61" s="126"/>
      <c r="K61" s="126"/>
      <c r="L61" s="194"/>
      <c r="M61" s="459"/>
      <c r="N61" s="459"/>
      <c r="P61" s="160"/>
      <c r="Q61" s="455"/>
      <c r="R61" s="160"/>
      <c r="S61" s="460"/>
      <c r="T61" s="463" t="s">
        <v>412</v>
      </c>
      <c r="U61" s="462"/>
      <c r="V61" s="462"/>
      <c r="W61" s="462"/>
      <c r="X61" s="462"/>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V61" s="462"/>
      <c r="AW61" s="462"/>
      <c r="AX61" s="462"/>
      <c r="AY61" s="462"/>
      <c r="AZ61" s="462"/>
      <c r="BA61" s="462"/>
      <c r="BB61" s="462"/>
      <c r="BC61" s="462"/>
      <c r="BE61" s="122"/>
      <c r="BF61" s="122" t="str">
        <f aca="false">IF(T61="","",T61)</f>
        <v>Добавить централизованную систему для дифференциации</v>
      </c>
      <c r="BG61" s="122"/>
      <c r="BH61" s="122"/>
      <c r="BI61" s="49" t="n">
        <v>0</v>
      </c>
    </row>
    <row r="62" s="49" customFormat="true" ht="14.35" hidden="false" customHeight="false" outlineLevel="0" collapsed="false">
      <c r="A62" s="126" t="s">
        <v>258</v>
      </c>
      <c r="B62" s="126"/>
      <c r="C62" s="126"/>
      <c r="D62" s="126"/>
      <c r="E62" s="418"/>
      <c r="F62" s="126"/>
      <c r="G62" s="126"/>
      <c r="H62" s="126"/>
      <c r="I62" s="126"/>
      <c r="J62" s="126"/>
      <c r="K62" s="126"/>
      <c r="L62" s="194"/>
      <c r="M62" s="459"/>
      <c r="N62" s="459"/>
      <c r="P62" s="160"/>
      <c r="Q62" s="455"/>
      <c r="R62" s="160"/>
      <c r="S62" s="460"/>
      <c r="T62" s="463" t="s">
        <v>413</v>
      </c>
      <c r="U62" s="462"/>
      <c r="V62" s="462"/>
      <c r="W62" s="462"/>
      <c r="X62" s="462"/>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V62" s="462"/>
      <c r="AW62" s="462"/>
      <c r="AX62" s="462"/>
      <c r="AY62" s="462"/>
      <c r="AZ62" s="462"/>
      <c r="BA62" s="462"/>
      <c r="BB62" s="462"/>
      <c r="BC62" s="462"/>
      <c r="BE62" s="122"/>
      <c r="BF62" s="122" t="str">
        <f aca="false">IF(T62="","",T62)</f>
        <v>Добавить территорию для дифференциации</v>
      </c>
      <c r="BG62" s="122"/>
      <c r="BH62" s="122"/>
      <c r="BI62" s="49" t="n">
        <v>0</v>
      </c>
    </row>
    <row r="63" s="49" customFormat="true" ht="14.35" hidden="false" customHeight="false" outlineLevel="0" collapsed="false">
      <c r="A63" s="126"/>
      <c r="B63" s="126"/>
      <c r="C63" s="126"/>
      <c r="D63" s="126"/>
      <c r="E63" s="126"/>
      <c r="F63" s="126"/>
      <c r="G63" s="126"/>
      <c r="H63" s="126"/>
      <c r="I63" s="126"/>
      <c r="J63" s="126"/>
      <c r="K63" s="126"/>
      <c r="L63" s="194"/>
      <c r="M63" s="459"/>
      <c r="N63" s="459"/>
      <c r="P63" s="160"/>
      <c r="Q63" s="455"/>
      <c r="R63" s="160"/>
      <c r="S63" s="460"/>
      <c r="T63" s="463" t="s">
        <v>445</v>
      </c>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c r="BE63" s="122"/>
      <c r="BF63" s="122" t="str">
        <f aca="false">IF(T63="","",T63)</f>
        <v>Добавить наименование тарифа</v>
      </c>
      <c r="BG63" s="122"/>
      <c r="BH63" s="122"/>
      <c r="BI63" s="49"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9.5" hidden="false" customHeight="true" outlineLevel="0" collapsed="false">
      <c r="O65" s="45"/>
      <c r="S65" s="414"/>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5"/>
      <c r="AZ65" s="495"/>
      <c r="BA65" s="495"/>
      <c r="BB65" s="495"/>
      <c r="BC65" s="495"/>
      <c r="BI65" s="42" t="n">
        <v>19</v>
      </c>
    </row>
    <row r="66" customFormat="false" ht="14.25" hidden="false" customHeight="true" outlineLevel="0" collapsed="false">
      <c r="O66" s="4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5"/>
      <c r="BC66" s="495"/>
      <c r="BI66" s="42" t="n">
        <v>14</v>
      </c>
    </row>
    <row r="67" customFormat="false" ht="19.5" hidden="false" customHeight="true" outlineLevel="0" collapsed="false">
      <c r="O67" s="45"/>
      <c r="S67" s="414"/>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AV67" s="495"/>
      <c r="AW67" s="495"/>
      <c r="AX67" s="495"/>
      <c r="AY67" s="495"/>
      <c r="AZ67" s="495"/>
      <c r="BA67" s="495"/>
      <c r="BB67" s="495"/>
      <c r="BC67" s="495"/>
      <c r="BI67" s="42" t="n">
        <v>19</v>
      </c>
    </row>
    <row r="68" customFormat="false" ht="14.25" hidden="false" customHeight="true" outlineLevel="0" collapsed="false">
      <c r="O68" s="45"/>
      <c r="BI68" s="42" t="n">
        <v>14</v>
      </c>
    </row>
    <row r="69" customFormat="false" ht="14.25" hidden="true" customHeight="true" outlineLevel="0" collapsed="false">
      <c r="A69" s="45" t="s">
        <v>80</v>
      </c>
      <c r="B69" s="45" t="n">
        <v>0</v>
      </c>
      <c r="C69" s="45" t="n">
        <v>0</v>
      </c>
      <c r="D69" s="45" t="n">
        <v>0</v>
      </c>
      <c r="E69" s="45" t="n">
        <v>0</v>
      </c>
      <c r="F69" s="45" t="n">
        <v>0</v>
      </c>
      <c r="G69" s="45" t="n">
        <v>0</v>
      </c>
      <c r="H69" s="45" t="n">
        <v>0</v>
      </c>
      <c r="I69" s="45" t="n">
        <v>0</v>
      </c>
      <c r="J69" s="45" t="n">
        <v>0</v>
      </c>
      <c r="K69" s="45" t="n">
        <v>0</v>
      </c>
      <c r="L69" s="107" t="n">
        <v>0</v>
      </c>
      <c r="M69" s="53" t="n">
        <v>0</v>
      </c>
      <c r="N69" s="53" t="n">
        <v>0</v>
      </c>
      <c r="O69" s="53" t="n">
        <v>0</v>
      </c>
      <c r="P69" s="53" t="n">
        <v>0</v>
      </c>
      <c r="Q69" s="469" t="n">
        <v>0</v>
      </c>
      <c r="R69" s="416" t="n">
        <v>3</v>
      </c>
      <c r="S69" s="77"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9" t="n">
        <v>10</v>
      </c>
      <c r="BE69" s="49" t="n">
        <v>10</v>
      </c>
      <c r="BF69" s="49" t="n">
        <v>10</v>
      </c>
      <c r="BG69" s="49" t="n">
        <v>10</v>
      </c>
      <c r="BH69" s="49"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30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608" width="10.71"/>
    <col collapsed="false" customWidth="true" hidden="true" outlineLevel="0" max="2" min="2" style="45" width="16.86"/>
    <col collapsed="false" customWidth="true" hidden="true" outlineLevel="0" max="3" min="3" style="49" width="5.57"/>
    <col collapsed="false" customWidth="true" hidden="false" outlineLevel="0" max="4" min="4" style="42" width="3"/>
    <col collapsed="false" customWidth="true" hidden="false" outlineLevel="0" max="5" min="5" style="42" width="7"/>
    <col collapsed="false" customWidth="true" hidden="false" outlineLevel="0" max="6" min="6" style="42" width="54"/>
    <col collapsed="false" customWidth="true" hidden="false" outlineLevel="0" max="7" min="7" style="42" width="10"/>
    <col collapsed="false" customWidth="true" hidden="true" outlineLevel="0" max="8" min="8" style="42" width="40.71"/>
    <col collapsed="false" customWidth="true" hidden="false" outlineLevel="0" max="9" min="9" style="42" width="40.71"/>
    <col collapsed="false" customWidth="true" hidden="false" outlineLevel="0" max="10" min="10" style="42" width="102"/>
    <col collapsed="false" customWidth="true" hidden="false" outlineLevel="0" max="11" min="11" style="45" width="9"/>
    <col collapsed="false" customWidth="true" hidden="false" outlineLevel="0" max="12" min="12" style="49" width="5"/>
    <col collapsed="false" customWidth="true" hidden="false" outlineLevel="0" max="13" min="13" style="49" width="3"/>
    <col collapsed="false" customWidth="true" hidden="false" outlineLevel="0" max="17" min="14" style="45" width="3"/>
    <col collapsed="false" customWidth="true" hidden="false" outlineLevel="0" max="18" min="18" style="49" width="10"/>
    <col collapsed="false" customWidth="true" hidden="false" outlineLevel="0" max="19" min="19" style="45" width="34"/>
    <col collapsed="false" customWidth="true" hidden="false" outlineLevel="0" max="20" min="20" style="45" width="9"/>
    <col collapsed="false" customWidth="true" hidden="false" outlineLevel="0" max="21" min="21" style="609" width="8"/>
    <col collapsed="false" customWidth="true" hidden="false" outlineLevel="0" max="26" min="22" style="45" width="8"/>
    <col collapsed="false" customWidth="true" hidden="false" outlineLevel="0" max="31" min="27" style="48" width="8"/>
    <col collapsed="false" customWidth="false" hidden="true" outlineLevel="0" max="32" min="32" style="42" width="9.15"/>
  </cols>
  <sheetData>
    <row r="1" customFormat="false" ht="22.5" hidden="true" customHeight="true" outlineLevel="0" collapsed="false">
      <c r="AF1" s="42" t="s">
        <v>14</v>
      </c>
    </row>
    <row r="2" customFormat="false" ht="23.25" hidden="true" customHeight="true" outlineLevel="0" collapsed="false">
      <c r="B2" s="43"/>
      <c r="C2" s="462" t="s">
        <v>542</v>
      </c>
      <c r="D2" s="118"/>
      <c r="E2" s="610" t="n">
        <f aca="false">B2</f>
        <v>0</v>
      </c>
      <c r="F2" s="611"/>
      <c r="G2" s="150" t="s">
        <v>543</v>
      </c>
      <c r="H2" s="150" t="s">
        <v>543</v>
      </c>
      <c r="I2" s="150" t="s">
        <v>543</v>
      </c>
      <c r="J2" s="612" t="s">
        <v>544</v>
      </c>
      <c r="K2" s="613"/>
      <c r="AF2" s="42" t="n">
        <v>0</v>
      </c>
    </row>
    <row r="3" s="49" customFormat="true" ht="0.75" hidden="true" customHeight="true" outlineLevel="0" collapsed="false">
      <c r="B3" s="43"/>
      <c r="C3" s="462"/>
      <c r="D3" s="462"/>
      <c r="E3" s="614"/>
      <c r="F3" s="615" t="s">
        <v>545</v>
      </c>
      <c r="G3" s="151"/>
      <c r="H3" s="151" t="n">
        <f aca="false">H4*H5+H7</f>
        <v>0</v>
      </c>
      <c r="I3" s="151" t="n">
        <f aca="false">I4*I5+I6</f>
        <v>0</v>
      </c>
      <c r="J3" s="298"/>
      <c r="AF3" s="49" t="n">
        <v>0</v>
      </c>
    </row>
    <row r="4" customFormat="false" ht="23.25" hidden="true" customHeight="true" outlineLevel="0" collapsed="false">
      <c r="B4" s="43"/>
      <c r="C4" s="462"/>
      <c r="D4" s="118"/>
      <c r="E4" s="610" t="str">
        <f aca="false">B2&amp;".1"</f>
        <v>.1</v>
      </c>
      <c r="F4" s="616" t="s">
        <v>546</v>
      </c>
      <c r="G4" s="617"/>
      <c r="H4" s="441"/>
      <c r="I4" s="441"/>
      <c r="J4" s="612" t="s">
        <v>547</v>
      </c>
      <c r="K4" s="613"/>
      <c r="AF4" s="42" t="n">
        <v>0</v>
      </c>
    </row>
    <row r="5" customFormat="false" ht="18.75" hidden="true" customHeight="true" outlineLevel="0" collapsed="false">
      <c r="B5" s="43"/>
      <c r="C5" s="462"/>
      <c r="D5" s="118"/>
      <c r="E5" s="610" t="str">
        <f aca="false">B2&amp;".2"</f>
        <v>.2</v>
      </c>
      <c r="F5" s="616" t="s">
        <v>548</v>
      </c>
      <c r="G5" s="150" t="s">
        <v>549</v>
      </c>
      <c r="H5" s="441"/>
      <c r="I5" s="441"/>
      <c r="J5" s="423"/>
      <c r="K5" s="613"/>
      <c r="AF5" s="42" t="n">
        <v>0</v>
      </c>
    </row>
    <row r="6" customFormat="false" ht="18.75" hidden="true" customHeight="true" outlineLevel="0" collapsed="false">
      <c r="B6" s="43"/>
      <c r="C6" s="462"/>
      <c r="D6" s="118"/>
      <c r="E6" s="610" t="str">
        <f aca="false">B2&amp;".3"</f>
        <v>.3</v>
      </c>
      <c r="F6" s="616" t="s">
        <v>550</v>
      </c>
      <c r="G6" s="150" t="s">
        <v>549</v>
      </c>
      <c r="H6" s="441"/>
      <c r="I6" s="441"/>
      <c r="J6" s="423"/>
      <c r="K6" s="613"/>
      <c r="AF6" s="42" t="n">
        <v>0</v>
      </c>
    </row>
    <row r="7" customFormat="false" ht="18.75" hidden="true" customHeight="true" outlineLevel="0" collapsed="false">
      <c r="B7" s="43"/>
      <c r="C7" s="462"/>
      <c r="D7" s="118"/>
      <c r="E7" s="610" t="str">
        <f aca="false">B2&amp;".4"</f>
        <v>.4</v>
      </c>
      <c r="F7" s="616" t="s">
        <v>551</v>
      </c>
      <c r="G7" s="150" t="s">
        <v>543</v>
      </c>
      <c r="H7" s="581"/>
      <c r="I7" s="581"/>
      <c r="J7" s="423"/>
      <c r="K7" s="613"/>
      <c r="AF7" s="42" t="n">
        <v>0</v>
      </c>
    </row>
    <row r="8" s="45" customFormat="true" ht="11.25" hidden="true" customHeight="true" outlineLevel="0" collapsed="false">
      <c r="A8" s="608"/>
      <c r="C8" s="49"/>
      <c r="H8" s="45" t="n">
        <v>4</v>
      </c>
      <c r="I8" s="45" t="n">
        <v>4</v>
      </c>
      <c r="L8" s="49"/>
      <c r="M8" s="49"/>
      <c r="R8" s="49"/>
      <c r="AF8" s="45" t="n">
        <v>0</v>
      </c>
    </row>
    <row r="9" s="45" customFormat="true" ht="22.5" hidden="true" customHeight="true" outlineLevel="0" collapsed="false">
      <c r="A9" s="608"/>
      <c r="C9" s="49"/>
      <c r="D9" s="618"/>
      <c r="E9" s="150"/>
      <c r="F9" s="152"/>
      <c r="G9" s="150" t="s">
        <v>549</v>
      </c>
      <c r="H9" s="441"/>
      <c r="I9" s="441"/>
      <c r="J9" s="619" t="s">
        <v>552</v>
      </c>
      <c r="K9" s="613"/>
      <c r="L9" s="49"/>
      <c r="M9" s="49"/>
      <c r="R9" s="49"/>
      <c r="U9" s="609"/>
      <c r="AA9" s="48"/>
      <c r="AB9" s="48"/>
      <c r="AC9" s="48"/>
      <c r="AD9" s="48"/>
      <c r="AE9" s="48"/>
      <c r="AF9" s="45" t="n">
        <v>0</v>
      </c>
    </row>
    <row r="10" customFormat="false" ht="11.25" hidden="true" customHeight="true" outlineLevel="0" collapsed="false">
      <c r="AF10" s="42" t="n">
        <v>0</v>
      </c>
    </row>
    <row r="11" customFormat="false" ht="18.75" hidden="true" customHeight="true" outlineLevel="0" collapsed="false">
      <c r="D11" s="118"/>
      <c r="E11" s="610"/>
      <c r="F11" s="152"/>
      <c r="G11" s="150" t="s">
        <v>553</v>
      </c>
      <c r="H11" s="441"/>
      <c r="I11" s="441"/>
      <c r="J11" s="423" t="s">
        <v>554</v>
      </c>
      <c r="K11" s="613"/>
      <c r="AF11" s="42" t="n">
        <v>0</v>
      </c>
    </row>
    <row r="12" customFormat="false" ht="11.25" hidden="true" customHeight="true" outlineLevel="0" collapsed="false">
      <c r="AF12" s="42" t="n">
        <v>0</v>
      </c>
    </row>
    <row r="13" customFormat="false" ht="22.5" hidden="true" customHeight="true" outlineLevel="0" collapsed="false">
      <c r="D13" s="118"/>
      <c r="E13" s="610"/>
      <c r="F13" s="152"/>
      <c r="G13" s="506" t="s">
        <v>555</v>
      </c>
      <c r="H13" s="620"/>
      <c r="I13" s="620"/>
      <c r="J13" s="621" t="s">
        <v>556</v>
      </c>
      <c r="K13" s="613"/>
      <c r="AF13" s="42" t="n">
        <v>0</v>
      </c>
    </row>
    <row r="14" customFormat="false" ht="11.25" hidden="true" customHeight="true" outlineLevel="0" collapsed="false">
      <c r="AF14" s="42" t="n">
        <v>0</v>
      </c>
    </row>
    <row r="15" customFormat="false" ht="22.5" hidden="true" customHeight="true" outlineLevel="0" collapsed="false">
      <c r="D15" s="118"/>
      <c r="E15" s="610"/>
      <c r="F15" s="152"/>
      <c r="G15" s="150" t="s">
        <v>557</v>
      </c>
      <c r="H15" s="620"/>
      <c r="I15" s="620"/>
      <c r="J15" s="423" t="s">
        <v>558</v>
      </c>
      <c r="K15" s="613"/>
      <c r="AF15" s="42" t="n">
        <v>0</v>
      </c>
    </row>
    <row r="16" customFormat="false" ht="11.25" hidden="true" customHeight="true" outlineLevel="0" collapsed="false">
      <c r="AF16" s="42" t="n">
        <v>0</v>
      </c>
    </row>
    <row r="17" customFormat="false" ht="22.5" hidden="true" customHeight="true" outlineLevel="0" collapsed="false">
      <c r="D17" s="118"/>
      <c r="E17" s="610"/>
      <c r="F17" s="152"/>
      <c r="G17" s="150" t="s">
        <v>559</v>
      </c>
      <c r="H17" s="620"/>
      <c r="I17" s="620"/>
      <c r="J17" s="423" t="s">
        <v>560</v>
      </c>
      <c r="K17" s="613"/>
      <c r="AF17" s="42" t="n">
        <v>0</v>
      </c>
    </row>
    <row r="18" customFormat="false" ht="11.25" hidden="true" customHeight="true" outlineLevel="0" collapsed="false">
      <c r="AF18" s="42" t="n">
        <v>0</v>
      </c>
    </row>
    <row r="19" s="48" customFormat="true" ht="11.25" hidden="true" customHeight="true" outlineLevel="0" collapsed="false">
      <c r="A19" s="608"/>
      <c r="B19" s="45"/>
      <c r="C19" s="49"/>
      <c r="J19" s="48" t="n">
        <v>4</v>
      </c>
      <c r="K19" s="45"/>
      <c r="L19" s="49"/>
      <c r="M19" s="49"/>
      <c r="N19" s="45"/>
      <c r="O19" s="45"/>
      <c r="P19" s="45"/>
      <c r="Q19" s="45"/>
      <c r="R19" s="49"/>
      <c r="S19" s="45"/>
      <c r="T19" s="45"/>
      <c r="U19" s="609"/>
      <c r="V19" s="45"/>
      <c r="W19" s="45"/>
      <c r="X19" s="45"/>
      <c r="Y19" s="45"/>
      <c r="Z19" s="45"/>
      <c r="AF19" s="48" t="n">
        <v>0</v>
      </c>
    </row>
    <row r="20" customFormat="false" ht="11.25" hidden="false" customHeight="true" outlineLevel="0" collapsed="false">
      <c r="AF20" s="42" t="n">
        <v>11</v>
      </c>
    </row>
    <row r="21" customFormat="false" ht="24.75" hidden="false" customHeight="true" outlineLevel="0" collapsed="false">
      <c r="E21" s="215" t="str">
        <f aca="false">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5"/>
      <c r="G21" s="215"/>
      <c r="H21" s="215"/>
      <c r="I21" s="215"/>
      <c r="J21" s="217"/>
      <c r="AF21" s="42" t="n">
        <v>24</v>
      </c>
    </row>
    <row r="22" customFormat="false" ht="24.75" hidden="false" customHeight="true" outlineLevel="0" collapsed="false">
      <c r="E22" s="259" t="str">
        <f aca="false">IF(org=0,"Не определено",org)</f>
        <v>Филиал ПАО "ОГК-2" - Серовская ГРЭС, г. Серов</v>
      </c>
      <c r="F22" s="259"/>
      <c r="G22" s="259"/>
      <c r="H22" s="259"/>
      <c r="I22" s="259"/>
      <c r="AF22" s="42" t="n">
        <v>24</v>
      </c>
    </row>
    <row r="23" customFormat="false" ht="11.25" hidden="false" customHeight="true" outlineLevel="0" collapsed="false">
      <c r="E23" s="622"/>
      <c r="F23" s="622"/>
      <c r="G23" s="622"/>
      <c r="H23" s="622"/>
      <c r="I23" s="622"/>
      <c r="AF23" s="42" t="n">
        <v>11</v>
      </c>
    </row>
    <row r="24" s="49" customFormat="true" ht="0.75" hidden="false" customHeight="true" outlineLevel="0" collapsed="false">
      <c r="A24" s="462"/>
      <c r="H24" s="623"/>
      <c r="I24" s="623" t="s">
        <v>115</v>
      </c>
      <c r="AF24" s="49" t="n">
        <v>1</v>
      </c>
    </row>
    <row r="25" customFormat="false" ht="11.25" hidden="false" customHeight="true" outlineLevel="0" collapsed="false">
      <c r="E25" s="624"/>
      <c r="F25" s="625" t="s">
        <v>103</v>
      </c>
      <c r="G25" s="625"/>
      <c r="H25" s="626" t="str">
        <f aca="false">IF(H24="","",INDEX(DIFFERENTIATION_UNMERGE_VD,MATCH(H24,DIFFERENTIATION_ID_DIFF,0)))</f>
        <v/>
      </c>
      <c r="I25" s="626" t="str">
        <f aca="false">IF(I24="","",INDEX(DIFFERENTIATION_UNMERGE_VD,MATCH(I24,DIFFERENTIATION_ID_DIFF,0)))</f>
        <v>Водоотведение; Транспортировка</v>
      </c>
      <c r="J25" s="138"/>
      <c r="AF25" s="42" t="n">
        <v>11</v>
      </c>
    </row>
    <row r="26" customFormat="false" ht="11.25" hidden="false" customHeight="true" outlineLevel="0" collapsed="false">
      <c r="E26" s="624"/>
      <c r="F26" s="625" t="s">
        <v>561</v>
      </c>
      <c r="G26" s="625"/>
      <c r="H26" s="626" t="str">
        <f aca="false">IF(H24="","",INDEX(DIFFERENTIATION_UNMERGE_AREA,MATCH(H24,DIFFERENTIATION_ID_DIFF,0)))</f>
        <v/>
      </c>
      <c r="I26" s="626" t="str">
        <f aca="false">IF(I24="","",INDEX(DIFFERENTIATION_UNMERGE_AREA,MATCH(I24,DIFFERENTIATION_ID_DIFF,0)))</f>
        <v>Территория 1</v>
      </c>
      <c r="J26" s="138"/>
      <c r="AF26" s="42" t="n">
        <v>11</v>
      </c>
    </row>
    <row r="27" customFormat="false" ht="11.25" hidden="false" customHeight="true" outlineLevel="0" collapsed="false">
      <c r="E27" s="624"/>
      <c r="F27" s="625" t="s">
        <v>562</v>
      </c>
      <c r="G27" s="625"/>
      <c r="H27" s="626" t="str">
        <f aca="false">IF(H24="","",INDEX(DIFFERENTIATION_UNMERGE_SYSTEM,MATCH(H24,DIFFERENTIATION_ID_DIFF,0)))</f>
        <v/>
      </c>
      <c r="I27" s="626" t="str">
        <f aca="false">IF(I24="","",INDEX(DIFFERENTIATION_UNMERGE_SYSTEM,MATCH(I24,DIFFERENTIATION_ID_DIFF,0)))</f>
        <v>без дифференциации</v>
      </c>
      <c r="J27" s="138"/>
      <c r="AF27" s="42" t="n">
        <v>11</v>
      </c>
    </row>
    <row r="28" customFormat="false" ht="11.25" hidden="false" customHeight="true" outlineLevel="0" collapsed="false">
      <c r="E28" s="627" t="s">
        <v>297</v>
      </c>
      <c r="F28" s="627"/>
      <c r="G28" s="627"/>
      <c r="H28" s="628"/>
      <c r="I28" s="628"/>
      <c r="J28" s="138"/>
      <c r="AF28" s="42" t="n">
        <v>11</v>
      </c>
    </row>
    <row r="29" customFormat="false" ht="24" hidden="false" customHeight="true" outlineLevel="0" collapsed="false">
      <c r="E29" s="150" t="s">
        <v>86</v>
      </c>
      <c r="F29" s="150" t="s">
        <v>299</v>
      </c>
      <c r="G29" s="150" t="s">
        <v>563</v>
      </c>
      <c r="H29" s="150" t="s">
        <v>300</v>
      </c>
      <c r="I29" s="150" t="s">
        <v>300</v>
      </c>
      <c r="J29" s="138"/>
      <c r="AF29" s="42" t="n">
        <v>23</v>
      </c>
    </row>
    <row r="30" customFormat="false" ht="19.5" hidden="false" customHeight="true" outlineLevel="0" collapsed="false">
      <c r="D30" s="118"/>
      <c r="E30" s="610" t="n">
        <f aca="false">FHD_NUM_P_1</f>
        <v>1</v>
      </c>
      <c r="F30" s="629" t="str">
        <f aca="false">FHD_P_1</f>
        <v>Выручка от регулируемых видов деятельности в сфере водоотведения</v>
      </c>
      <c r="G30" s="150" t="s">
        <v>549</v>
      </c>
      <c r="H30" s="630"/>
      <c r="I30" s="630"/>
      <c r="J30" s="423" t="str">
        <f aca="false">FHD_NOTE_P_1</f>
        <v>Указывается выручка с распределением по видам деятельности.</v>
      </c>
      <c r="K30" s="613"/>
      <c r="AF30" s="42" t="n">
        <v>19</v>
      </c>
    </row>
    <row r="31" customFormat="false" ht="11.25" hidden="false" customHeight="true" outlineLevel="0" collapsed="false">
      <c r="D31" s="118"/>
      <c r="E31" s="610" t="n">
        <f aca="false">FHD_NUM_P_2</f>
        <v>2</v>
      </c>
      <c r="F31" s="629" t="str">
        <f aca="false">FHD_P_2</f>
        <v>Себестоимость производимых товаров (оказываемых услуг) по регулируемым видам деятельности в сфере водоотведения, включая:</v>
      </c>
      <c r="G31" s="150" t="s">
        <v>549</v>
      </c>
      <c r="H31" s="631" t="n">
        <f aca="false">SUMIF($K33:$K71,$K31,H33:H71)</f>
        <v>0</v>
      </c>
      <c r="I31" s="631" t="n">
        <f aca="false">SUMIF($K33:$K71,$K31,I33:I71)</f>
        <v>0</v>
      </c>
      <c r="J31" s="423" t="str">
        <f aca="false">FHD_NOTE_P_2</f>
        <v>Указывается суммарная себестоимость производимых товаров.</v>
      </c>
      <c r="K31" s="49" t="s">
        <v>564</v>
      </c>
      <c r="AF31" s="42" t="n">
        <v>11</v>
      </c>
    </row>
    <row r="32" customFormat="false" ht="11.25" hidden="false" customHeight="true" outlineLevel="0" collapsed="false">
      <c r="D32" s="118"/>
      <c r="E32" s="610" t="str">
        <f aca="false">FHD_NUM_P_3</f>
        <v>2.1</v>
      </c>
      <c r="F32" s="577" t="str">
        <f aca="false">FHD_P_3</f>
        <v>Расходы на оплату услуг по приему, транспортировке и очистке сточных вод другими организациями</v>
      </c>
      <c r="G32" s="150" t="s">
        <v>549</v>
      </c>
      <c r="H32" s="630"/>
      <c r="I32" s="630"/>
      <c r="J32" s="423" t="str">
        <f aca="false">FHD_NOTE_P_3</f>
        <v/>
      </c>
      <c r="K32" s="49" t="str">
        <f aca="false">IF((LEN(E32)-LEN(SUBSTITUTE(E32,".","")))/LEN(".")=1,"p","")</f>
        <v>p</v>
      </c>
      <c r="AF32" s="42" t="n">
        <v>11</v>
      </c>
    </row>
    <row r="33" customFormat="false" ht="11.25" hidden="true" customHeight="true" outlineLevel="0" collapsed="false">
      <c r="A33" s="632" t="s">
        <v>565</v>
      </c>
      <c r="D33" s="118"/>
      <c r="E33" s="610" t="str">
        <f aca="false">FHD_NUM_P_4</f>
        <v/>
      </c>
      <c r="F33" s="577" t="str">
        <f aca="false">FHD_P_4</f>
        <v/>
      </c>
      <c r="G33" s="150" t="s">
        <v>549</v>
      </c>
      <c r="H33" s="631" t="n">
        <f aca="false">SUMIF($F34:$F40,$F3,H34:H40)</f>
        <v>0</v>
      </c>
      <c r="I33" s="631" t="n">
        <f aca="false">SUMIF($F34:$F40,$F3,I34:I40)</f>
        <v>0</v>
      </c>
      <c r="J33" s="423" t="str">
        <f aca="false">FHD_NOTE_P_4</f>
        <v/>
      </c>
      <c r="K33" s="49" t="str">
        <f aca="false">IF((LEN(E33)-LEN(SUBSTITUTE(E33,".","")))/LEN(".")=1,"p","")</f>
        <v/>
      </c>
      <c r="AF33" s="42" t="n">
        <v>0</v>
      </c>
    </row>
    <row r="34" s="124" customFormat="true" ht="0.75" hidden="true" customHeight="true" outlineLevel="0" collapsed="false">
      <c r="A34" s="632"/>
      <c r="B34" s="633" t="str">
        <f aca="false">E33&amp;".0"</f>
        <v>.0</v>
      </c>
      <c r="C34" s="462"/>
      <c r="D34" s="634"/>
      <c r="E34" s="635"/>
      <c r="F34" s="636"/>
      <c r="G34" s="637"/>
      <c r="H34" s="369"/>
      <c r="I34" s="369"/>
      <c r="J34" s="638"/>
      <c r="K34" s="49" t="str">
        <f aca="false">IF((LEN(E34)-LEN(SUBSTITUTE(E34,".","")))/LEN(".")=1,"p","")</f>
        <v/>
      </c>
      <c r="L34" s="49"/>
      <c r="M34" s="49"/>
      <c r="N34" s="49"/>
      <c r="O34" s="49"/>
      <c r="P34" s="49"/>
      <c r="Q34" s="49"/>
      <c r="R34" s="49"/>
      <c r="S34" s="49"/>
      <c r="T34" s="49"/>
      <c r="U34" s="639"/>
      <c r="V34" s="49"/>
      <c r="W34" s="49"/>
      <c r="X34" s="49"/>
      <c r="Y34" s="49"/>
      <c r="Z34" s="49"/>
      <c r="AA34" s="47"/>
      <c r="AB34" s="47"/>
      <c r="AC34" s="47"/>
      <c r="AD34" s="47"/>
      <c r="AE34" s="47"/>
      <c r="AF34" s="124" t="n">
        <v>0</v>
      </c>
    </row>
    <row r="35" s="124" customFormat="true" ht="0.75" hidden="true" customHeight="true" outlineLevel="0" collapsed="false">
      <c r="A35" s="632"/>
      <c r="B35" s="633"/>
      <c r="C35" s="462"/>
      <c r="D35" s="634"/>
      <c r="E35" s="640"/>
      <c r="F35" s="641"/>
      <c r="G35" s="637"/>
      <c r="H35" s="642"/>
      <c r="I35" s="642"/>
      <c r="J35" s="638"/>
      <c r="K35" s="49" t="str">
        <f aca="false">IF((LEN(E35)-LEN(SUBSTITUTE(E35,".","")))/LEN(".")=1,"p","")</f>
        <v/>
      </c>
      <c r="L35" s="49"/>
      <c r="M35" s="49"/>
      <c r="N35" s="49"/>
      <c r="O35" s="49"/>
      <c r="P35" s="49"/>
      <c r="Q35" s="49"/>
      <c r="R35" s="49"/>
      <c r="S35" s="49"/>
      <c r="T35" s="49"/>
      <c r="U35" s="639"/>
      <c r="V35" s="49"/>
      <c r="W35" s="49"/>
      <c r="X35" s="49"/>
      <c r="Y35" s="49"/>
      <c r="Z35" s="49"/>
      <c r="AA35" s="47"/>
      <c r="AB35" s="47"/>
      <c r="AC35" s="47"/>
      <c r="AD35" s="47"/>
      <c r="AE35" s="47"/>
      <c r="AF35" s="124" t="n">
        <v>0</v>
      </c>
    </row>
    <row r="36" s="124" customFormat="true" ht="0.75" hidden="true" customHeight="true" outlineLevel="0" collapsed="false">
      <c r="A36" s="632"/>
      <c r="B36" s="633"/>
      <c r="C36" s="462"/>
      <c r="D36" s="634"/>
      <c r="E36" s="640"/>
      <c r="F36" s="641"/>
      <c r="G36" s="637"/>
      <c r="H36" s="642"/>
      <c r="I36" s="642"/>
      <c r="J36" s="638"/>
      <c r="K36" s="49" t="str">
        <f aca="false">IF((LEN(E36)-LEN(SUBSTITUTE(E36,".","")))/LEN(".")=1,"p","")</f>
        <v/>
      </c>
      <c r="L36" s="49"/>
      <c r="M36" s="49"/>
      <c r="N36" s="49"/>
      <c r="O36" s="49"/>
      <c r="P36" s="49"/>
      <c r="Q36" s="49"/>
      <c r="R36" s="49"/>
      <c r="S36" s="49"/>
      <c r="T36" s="49"/>
      <c r="U36" s="639"/>
      <c r="V36" s="49"/>
      <c r="W36" s="49"/>
      <c r="X36" s="49"/>
      <c r="Y36" s="49"/>
      <c r="Z36" s="49"/>
      <c r="AA36" s="47"/>
      <c r="AB36" s="47"/>
      <c r="AC36" s="47"/>
      <c r="AD36" s="47"/>
      <c r="AE36" s="47"/>
      <c r="AF36" s="124" t="n">
        <v>0</v>
      </c>
    </row>
    <row r="37" s="124" customFormat="true" ht="0.75" hidden="true" customHeight="true" outlineLevel="0" collapsed="false">
      <c r="A37" s="632"/>
      <c r="B37" s="633"/>
      <c r="C37" s="462"/>
      <c r="D37" s="634"/>
      <c r="E37" s="640"/>
      <c r="F37" s="641"/>
      <c r="G37" s="637"/>
      <c r="H37" s="642"/>
      <c r="I37" s="642"/>
      <c r="J37" s="638"/>
      <c r="K37" s="49" t="str">
        <f aca="false">IF((LEN(E37)-LEN(SUBSTITUTE(E37,".","")))/LEN(".")=1,"p","")</f>
        <v/>
      </c>
      <c r="L37" s="49"/>
      <c r="M37" s="49"/>
      <c r="N37" s="49"/>
      <c r="O37" s="49"/>
      <c r="P37" s="49"/>
      <c r="Q37" s="49"/>
      <c r="R37" s="49"/>
      <c r="S37" s="49"/>
      <c r="T37" s="49"/>
      <c r="U37" s="639"/>
      <c r="V37" s="49"/>
      <c r="W37" s="49"/>
      <c r="X37" s="49"/>
      <c r="Y37" s="49"/>
      <c r="Z37" s="49"/>
      <c r="AA37" s="47"/>
      <c r="AB37" s="47"/>
      <c r="AC37" s="47"/>
      <c r="AD37" s="47"/>
      <c r="AE37" s="47"/>
      <c r="AF37" s="124" t="n">
        <v>0</v>
      </c>
    </row>
    <row r="38" s="124" customFormat="true" ht="0.75" hidden="true" customHeight="true" outlineLevel="0" collapsed="false">
      <c r="A38" s="632"/>
      <c r="B38" s="633"/>
      <c r="C38" s="462"/>
      <c r="D38" s="634"/>
      <c r="E38" s="640"/>
      <c r="F38" s="641"/>
      <c r="G38" s="637"/>
      <c r="H38" s="642"/>
      <c r="I38" s="642"/>
      <c r="J38" s="638"/>
      <c r="K38" s="49" t="str">
        <f aca="false">IF((LEN(E38)-LEN(SUBSTITUTE(E38,".","")))/LEN(".")=1,"p","")</f>
        <v/>
      </c>
      <c r="L38" s="49"/>
      <c r="M38" s="49"/>
      <c r="N38" s="49"/>
      <c r="O38" s="49"/>
      <c r="P38" s="49"/>
      <c r="Q38" s="49"/>
      <c r="R38" s="49"/>
      <c r="S38" s="49"/>
      <c r="T38" s="49"/>
      <c r="U38" s="639"/>
      <c r="V38" s="49"/>
      <c r="W38" s="49"/>
      <c r="X38" s="49"/>
      <c r="Y38" s="49"/>
      <c r="Z38" s="49"/>
      <c r="AA38" s="47"/>
      <c r="AB38" s="47"/>
      <c r="AC38" s="47"/>
      <c r="AD38" s="47"/>
      <c r="AE38" s="47"/>
      <c r="AF38" s="124" t="n">
        <v>0</v>
      </c>
    </row>
    <row r="39" s="124" customFormat="true" ht="0.75" hidden="true" customHeight="true" outlineLevel="0" collapsed="false">
      <c r="A39" s="632"/>
      <c r="B39" s="633"/>
      <c r="C39" s="462"/>
      <c r="D39" s="634"/>
      <c r="E39" s="640"/>
      <c r="F39" s="641"/>
      <c r="G39" s="637"/>
      <c r="H39" s="369"/>
      <c r="I39" s="369"/>
      <c r="J39" s="638"/>
      <c r="K39" s="49" t="str">
        <f aca="false">IF((LEN(E39)-LEN(SUBSTITUTE(E39,".","")))/LEN(".")=1,"p","")</f>
        <v/>
      </c>
      <c r="L39" s="49"/>
      <c r="M39" s="49"/>
      <c r="N39" s="49"/>
      <c r="O39" s="49"/>
      <c r="P39" s="49"/>
      <c r="Q39" s="49"/>
      <c r="R39" s="49"/>
      <c r="S39" s="49"/>
      <c r="T39" s="49"/>
      <c r="U39" s="639"/>
      <c r="V39" s="49"/>
      <c r="W39" s="49"/>
      <c r="X39" s="49"/>
      <c r="Y39" s="49"/>
      <c r="Z39" s="49"/>
      <c r="AA39" s="47"/>
      <c r="AB39" s="47"/>
      <c r="AC39" s="47"/>
      <c r="AD39" s="47"/>
      <c r="AE39" s="47"/>
      <c r="AF39" s="124" t="n">
        <v>0</v>
      </c>
    </row>
    <row r="40" s="45" customFormat="true" ht="15" hidden="true" customHeight="true" outlineLevel="0" collapsed="false">
      <c r="A40" s="632"/>
      <c r="C40" s="49"/>
      <c r="D40" s="121"/>
      <c r="E40" s="643"/>
      <c r="F40" s="214" t="s">
        <v>566</v>
      </c>
      <c r="G40" s="644"/>
      <c r="H40" s="645"/>
      <c r="I40" s="645"/>
      <c r="J40" s="481"/>
      <c r="K40" s="49" t="str">
        <f aca="false">IF((LEN(E40)-LEN(SUBSTITUTE(E40,".","")))/LEN(".")=1,"p","")</f>
        <v/>
      </c>
      <c r="L40" s="49"/>
      <c r="M40" s="49"/>
      <c r="R40" s="49"/>
      <c r="U40" s="609"/>
      <c r="AA40" s="48"/>
      <c r="AB40" s="48"/>
      <c r="AC40" s="48"/>
      <c r="AD40" s="48"/>
      <c r="AE40" s="48"/>
      <c r="AF40" s="45" t="n">
        <v>0</v>
      </c>
    </row>
    <row r="41" customFormat="false" ht="11.25" hidden="true" customHeight="true" outlineLevel="0" collapsed="false">
      <c r="A41" s="632" t="s">
        <v>567</v>
      </c>
      <c r="D41" s="118"/>
      <c r="E41" s="610" t="str">
        <f aca="false">FHD_NUM_P_5</f>
        <v/>
      </c>
      <c r="F41" s="577" t="str">
        <f aca="false">FHD_P_5</f>
        <v/>
      </c>
      <c r="G41" s="150" t="s">
        <v>549</v>
      </c>
      <c r="H41" s="630"/>
      <c r="I41" s="630"/>
      <c r="J41" s="423" t="str">
        <f aca="false">FHD_NOTE_P_5</f>
        <v/>
      </c>
      <c r="K41" s="49" t="str">
        <f aca="false">IF((LEN(E41)-LEN(SUBSTITUTE(E41,".","")))/LEN(".")=1,"p","")</f>
        <v/>
      </c>
      <c r="AF41" s="42" t="n">
        <v>0</v>
      </c>
    </row>
    <row r="42" customFormat="false" ht="11.25" hidden="true" customHeight="true" outlineLevel="0" collapsed="false">
      <c r="A42" s="632"/>
      <c r="D42" s="118"/>
      <c r="E42" s="610" t="str">
        <f aca="false">FHD_NUM_P_6</f>
        <v/>
      </c>
      <c r="F42" s="577" t="str">
        <f aca="false">FHD_P_6</f>
        <v/>
      </c>
      <c r="G42" s="150" t="s">
        <v>549</v>
      </c>
      <c r="H42" s="630"/>
      <c r="I42" s="630"/>
      <c r="J42" s="423" t="str">
        <f aca="false">FHD_NOTE_P_6</f>
        <v/>
      </c>
      <c r="K42" s="49" t="str">
        <f aca="false">IF((LEN(E42)-LEN(SUBSTITUTE(E42,".","")))/LEN(".")=1,"p","")</f>
        <v/>
      </c>
      <c r="AF42" s="42" t="n">
        <v>0</v>
      </c>
    </row>
    <row r="43" customFormat="false" ht="11.25" hidden="true" customHeight="true" outlineLevel="0" collapsed="false">
      <c r="A43" s="632"/>
      <c r="D43" s="118"/>
      <c r="E43" s="610" t="str">
        <f aca="false">FHD_NUM_P_7</f>
        <v/>
      </c>
      <c r="F43" s="577" t="str">
        <f aca="false">FHD_P_7</f>
        <v/>
      </c>
      <c r="G43" s="150" t="s">
        <v>549</v>
      </c>
      <c r="H43" s="630"/>
      <c r="I43" s="630"/>
      <c r="J43" s="423" t="str">
        <f aca="false">FHD_NOTE_P_7</f>
        <v/>
      </c>
      <c r="K43" s="49" t="str">
        <f aca="false">IF((LEN(E43)-LEN(SUBSTITUTE(E43,".","")))/LEN(".")=1,"p","")</f>
        <v/>
      </c>
      <c r="AF43" s="42" t="n">
        <v>0</v>
      </c>
    </row>
    <row r="44" customFormat="false" ht="11.25" hidden="false" customHeight="true" outlineLevel="0" collapsed="false">
      <c r="D44" s="118"/>
      <c r="E44" s="610" t="str">
        <f aca="false">FHD_NUM_P_8</f>
        <v>2.2</v>
      </c>
      <c r="F44" s="577" t="str">
        <f aca="false">FHD_P_8</f>
        <v>Расходы на приобретаемую электрическую энергию (мощность), используемую в технологическом процессе</v>
      </c>
      <c r="G44" s="150" t="s">
        <v>549</v>
      </c>
      <c r="H44" s="630"/>
      <c r="I44" s="630"/>
      <c r="J44" s="423" t="str">
        <f aca="false">FHD_NOTE_P_8</f>
        <v/>
      </c>
      <c r="K44" s="49" t="str">
        <f aca="false">IF((LEN(E44)-LEN(SUBSTITUTE(E44,".","")))/LEN(".")=1,"p","")</f>
        <v>p</v>
      </c>
      <c r="AF44" s="42" t="n">
        <v>11</v>
      </c>
    </row>
    <row r="45" customFormat="false" ht="11.25" hidden="false" customHeight="true" outlineLevel="0" collapsed="false">
      <c r="D45" s="118"/>
      <c r="E45" s="610" t="str">
        <f aca="false">FHD_NUM_P_9</f>
        <v>2.2.1</v>
      </c>
      <c r="F45" s="646" t="str">
        <f aca="false">FHD_P_9</f>
        <v>Средневзвешенная стоимость 1 кВт.ч (с учетом мощности)</v>
      </c>
      <c r="G45" s="150" t="s">
        <v>568</v>
      </c>
      <c r="H45" s="630"/>
      <c r="I45" s="630"/>
      <c r="J45" s="423" t="str">
        <f aca="false">FHD_NOTE_P_9</f>
        <v/>
      </c>
      <c r="K45" s="49" t="str">
        <f aca="false">IF((LEN(E45)-LEN(SUBSTITUTE(E45,".","")))/LEN(".")=1,"p","")</f>
        <v/>
      </c>
      <c r="AF45" s="42" t="n">
        <v>11</v>
      </c>
    </row>
    <row r="46" s="45" customFormat="true" ht="11.25" hidden="false" customHeight="true" outlineLevel="0" collapsed="false">
      <c r="A46" s="608"/>
      <c r="C46" s="49"/>
      <c r="D46" s="647"/>
      <c r="E46" s="610" t="str">
        <f aca="false">FHD_NUM_P_10</f>
        <v>2.2.2</v>
      </c>
      <c r="F46" s="646" t="str">
        <f aca="false">FHD_P_10</f>
        <v>Объём приобретения электрической энергии</v>
      </c>
      <c r="G46" s="150" t="s">
        <v>569</v>
      </c>
      <c r="H46" s="630"/>
      <c r="I46" s="630"/>
      <c r="J46" s="423" t="str">
        <f aca="false">FHD_NOTE_P_10</f>
        <v/>
      </c>
      <c r="K46" s="49" t="str">
        <f aca="false">IF((LEN(E46)-LEN(SUBSTITUTE(E46,".","")))/LEN(".")=1,"p","")</f>
        <v/>
      </c>
      <c r="L46" s="49"/>
      <c r="M46" s="49"/>
      <c r="R46" s="49"/>
      <c r="U46" s="609"/>
      <c r="AA46" s="48"/>
      <c r="AB46" s="48"/>
      <c r="AC46" s="48"/>
      <c r="AD46" s="48"/>
      <c r="AE46" s="48"/>
      <c r="AF46" s="45" t="n">
        <v>11</v>
      </c>
    </row>
    <row r="47" s="45" customFormat="true" ht="11.25" hidden="true" customHeight="true" outlineLevel="0" collapsed="false">
      <c r="A47" s="648" t="s">
        <v>570</v>
      </c>
      <c r="C47" s="49"/>
      <c r="D47" s="649"/>
      <c r="E47" s="610" t="str">
        <f aca="false">FHD_NUM_P_11</f>
        <v/>
      </c>
      <c r="F47" s="577" t="str">
        <f aca="false">FHD_P_11</f>
        <v/>
      </c>
      <c r="G47" s="150" t="s">
        <v>549</v>
      </c>
      <c r="H47" s="630"/>
      <c r="I47" s="630"/>
      <c r="J47" s="423" t="str">
        <f aca="false">FHD_NOTE_P_11</f>
        <v/>
      </c>
      <c r="K47" s="49" t="str">
        <f aca="false">IF((LEN(E47)-LEN(SUBSTITUTE(E47,".","")))/LEN(".")=1,"p","")</f>
        <v/>
      </c>
      <c r="L47" s="49"/>
      <c r="M47" s="49"/>
      <c r="R47" s="49"/>
      <c r="U47" s="609"/>
      <c r="AA47" s="48"/>
      <c r="AB47" s="48"/>
      <c r="AC47" s="48"/>
      <c r="AD47" s="48"/>
      <c r="AE47" s="48"/>
      <c r="AF47" s="45" t="n">
        <v>0</v>
      </c>
    </row>
    <row r="48" s="45" customFormat="true" ht="18.75" hidden="false" customHeight="true" outlineLevel="0" collapsed="false">
      <c r="A48" s="648" t="s">
        <v>571</v>
      </c>
      <c r="C48" s="49"/>
      <c r="D48" s="118"/>
      <c r="E48" s="610" t="str">
        <f aca="false">FHD_NUM_P_12</f>
        <v>2.3</v>
      </c>
      <c r="F48" s="577" t="str">
        <f aca="false">FHD_P_12</f>
        <v>Расходы на химические реагенты, используемые в технологическом процессе</v>
      </c>
      <c r="G48" s="150" t="s">
        <v>549</v>
      </c>
      <c r="H48" s="650"/>
      <c r="I48" s="650"/>
      <c r="J48" s="423" t="str">
        <f aca="false">FHD_NOTE_P_12</f>
        <v/>
      </c>
      <c r="K48" s="49" t="str">
        <f aca="false">IF((LEN(E48)-LEN(SUBSTITUTE(E48,".","")))/LEN(".")=1,"p","")</f>
        <v>p</v>
      </c>
      <c r="L48" s="49"/>
      <c r="M48" s="49"/>
      <c r="R48" s="49"/>
      <c r="U48" s="609"/>
      <c r="AA48" s="48"/>
      <c r="AB48" s="48"/>
      <c r="AC48" s="48"/>
      <c r="AD48" s="48"/>
      <c r="AE48" s="48"/>
      <c r="AF48" s="45" t="n">
        <v>18</v>
      </c>
    </row>
    <row r="49" s="420" customFormat="true" ht="11.25" hidden="false" customHeight="true" outlineLevel="0" collapsed="false">
      <c r="A49" s="651"/>
      <c r="C49" s="402"/>
      <c r="D49" s="273"/>
      <c r="E49" s="610" t="str">
        <f aca="false">FHD_NUM_P_13</f>
        <v>2.4</v>
      </c>
      <c r="F49" s="577" t="str">
        <f aca="false">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0" t="s">
        <v>549</v>
      </c>
      <c r="H49" s="630"/>
      <c r="I49" s="630"/>
      <c r="J49" s="423" t="str">
        <f aca="false">FHD_NOTE_P_13</f>
        <v>Указывается общая сумма расходов на оплату труда и отчислений на социальные нужды основного производственного персонала.</v>
      </c>
      <c r="K49" s="49" t="str">
        <f aca="false">IF((LEN(E49)-LEN(SUBSTITUTE(E49,".","")))/LEN(".")=1,"p","")</f>
        <v>p</v>
      </c>
      <c r="L49" s="402"/>
      <c r="M49" s="402"/>
      <c r="R49" s="402"/>
      <c r="U49" s="652"/>
      <c r="AA49" s="40"/>
      <c r="AB49" s="40"/>
      <c r="AC49" s="40"/>
      <c r="AD49" s="40"/>
      <c r="AE49" s="40"/>
      <c r="AF49" s="420" t="n">
        <v>11</v>
      </c>
    </row>
    <row r="50" s="420" customFormat="true" ht="11.25" hidden="false" customHeight="true" outlineLevel="0" collapsed="false">
      <c r="A50" s="651"/>
      <c r="C50" s="402"/>
      <c r="D50" s="273"/>
      <c r="E50" s="610" t="str">
        <f aca="false">FHD_NUM_P_14</f>
        <v>2.4.1</v>
      </c>
      <c r="F50" s="646" t="str">
        <f aca="false">FHD_P_14</f>
        <v>Расходы на оплату труда основного производственного персонала</v>
      </c>
      <c r="G50" s="150" t="s">
        <v>549</v>
      </c>
      <c r="H50" s="630"/>
      <c r="I50" s="630"/>
      <c r="J50" s="423" t="str">
        <f aca="false">FHD_NOTE_P_14</f>
        <v/>
      </c>
      <c r="K50" s="49" t="str">
        <f aca="false">IF((LEN(E50)-LEN(SUBSTITUTE(E50,".","")))/LEN(".")=1,"p","")</f>
        <v/>
      </c>
      <c r="L50" s="402"/>
      <c r="M50" s="402"/>
      <c r="R50" s="402"/>
      <c r="U50" s="652"/>
      <c r="AA50" s="40"/>
      <c r="AB50" s="40"/>
      <c r="AC50" s="40"/>
      <c r="AD50" s="40"/>
      <c r="AE50" s="40"/>
      <c r="AF50" s="420" t="n">
        <v>11</v>
      </c>
    </row>
    <row r="51" s="420" customFormat="true" ht="11.25" hidden="false" customHeight="true" outlineLevel="0" collapsed="false">
      <c r="A51" s="651"/>
      <c r="C51" s="402"/>
      <c r="D51" s="273"/>
      <c r="E51" s="610" t="str">
        <f aca="false">FHD_NUM_P_15</f>
        <v>2.4.2</v>
      </c>
      <c r="F51" s="646" t="str">
        <f aca="false">FHD_P_15</f>
        <v>Страховые взносы на обязательное социальное страхование, выплачиваемые из фонда оплаты труда основного производственного персонала</v>
      </c>
      <c r="G51" s="150" t="s">
        <v>549</v>
      </c>
      <c r="H51" s="630"/>
      <c r="I51" s="630"/>
      <c r="J51" s="423" t="str">
        <f aca="false">FHD_NOTE_P_15</f>
        <v/>
      </c>
      <c r="K51" s="49" t="str">
        <f aca="false">IF((LEN(E51)-LEN(SUBSTITUTE(E51,".","")))/LEN(".")=1,"p","")</f>
        <v/>
      </c>
      <c r="L51" s="402"/>
      <c r="M51" s="402"/>
      <c r="R51" s="402"/>
      <c r="U51" s="652"/>
      <c r="AA51" s="40"/>
      <c r="AB51" s="40"/>
      <c r="AC51" s="40"/>
      <c r="AD51" s="40"/>
      <c r="AE51" s="40"/>
      <c r="AF51" s="420" t="n">
        <v>11</v>
      </c>
    </row>
    <row r="52" s="45" customFormat="true" ht="11.25" hidden="false" customHeight="true" outlineLevel="0" collapsed="false">
      <c r="A52" s="608"/>
      <c r="C52" s="49"/>
      <c r="D52" s="118"/>
      <c r="E52" s="610" t="str">
        <f aca="false">FHD_NUM_P_16</f>
        <v>2.5</v>
      </c>
      <c r="F52" s="577" t="str">
        <f aca="false">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0" t="s">
        <v>549</v>
      </c>
      <c r="H52" s="630"/>
      <c r="I52" s="630"/>
      <c r="J52" s="423" t="str">
        <f aca="false">FHD_NOTE_P_16</f>
        <v>Указывается общая сумма расходов на оплату труда и отчислений на социальные нужды административно-управленческого персонала.</v>
      </c>
      <c r="K52" s="49" t="str">
        <f aca="false">IF((LEN(E52)-LEN(SUBSTITUTE(E52,".","")))/LEN(".")=1,"p","")</f>
        <v>p</v>
      </c>
      <c r="L52" s="49"/>
      <c r="M52" s="49"/>
      <c r="R52" s="49"/>
      <c r="U52" s="609"/>
      <c r="AA52" s="48"/>
      <c r="AB52" s="48"/>
      <c r="AC52" s="48"/>
      <c r="AD52" s="48"/>
      <c r="AE52" s="48"/>
      <c r="AF52" s="45" t="n">
        <v>11</v>
      </c>
    </row>
    <row r="53" s="45" customFormat="true" ht="11.25" hidden="false" customHeight="true" outlineLevel="0" collapsed="false">
      <c r="A53" s="608"/>
      <c r="C53" s="49"/>
      <c r="D53" s="118"/>
      <c r="E53" s="610" t="str">
        <f aca="false">FHD_NUM_P_17</f>
        <v>2.5.1</v>
      </c>
      <c r="F53" s="646" t="str">
        <f aca="false">FHD_P_17</f>
        <v>Расходы на оплату труда административно-управленческого персонала, в том числе:</v>
      </c>
      <c r="G53" s="150" t="s">
        <v>549</v>
      </c>
      <c r="H53" s="630"/>
      <c r="I53" s="630"/>
      <c r="J53" s="423" t="str">
        <f aca="false">FHD_NOTE_P_17</f>
        <v/>
      </c>
      <c r="K53" s="49" t="str">
        <f aca="false">IF((LEN(E53)-LEN(SUBSTITUTE(E53,".","")))/LEN(".")=1,"p","")</f>
        <v/>
      </c>
      <c r="L53" s="49"/>
      <c r="M53" s="49"/>
      <c r="R53" s="49"/>
      <c r="U53" s="609"/>
      <c r="AA53" s="48"/>
      <c r="AB53" s="48"/>
      <c r="AC53" s="48"/>
      <c r="AD53" s="48"/>
      <c r="AE53" s="48"/>
      <c r="AF53" s="45" t="n">
        <v>11</v>
      </c>
    </row>
    <row r="54" s="45" customFormat="true" ht="11.25" hidden="false" customHeight="true" outlineLevel="0" collapsed="false">
      <c r="A54" s="608"/>
      <c r="C54" s="49"/>
      <c r="D54" s="118"/>
      <c r="E54" s="610" t="str">
        <f aca="false">FHD_NUM_P_18</f>
        <v>2.5.2</v>
      </c>
      <c r="F54" s="646" t="str">
        <f aca="false">FHD_P_18</f>
        <v>Страховые взносы на обязательное социальное страхование, выплачиваемые из фонда оплаты труда административно-управленческого персонала</v>
      </c>
      <c r="G54" s="150" t="s">
        <v>549</v>
      </c>
      <c r="H54" s="630"/>
      <c r="I54" s="630"/>
      <c r="J54" s="423" t="str">
        <f aca="false">FHD_NOTE_P_18</f>
        <v/>
      </c>
      <c r="K54" s="49" t="str">
        <f aca="false">IF((LEN(E54)-LEN(SUBSTITUTE(E54,".","")))/LEN(".")=1,"p","")</f>
        <v/>
      </c>
      <c r="L54" s="49"/>
      <c r="M54" s="49"/>
      <c r="R54" s="49"/>
      <c r="U54" s="609"/>
      <c r="AA54" s="48"/>
      <c r="AB54" s="48"/>
      <c r="AC54" s="48"/>
      <c r="AD54" s="48"/>
      <c r="AE54" s="48"/>
      <c r="AF54" s="45" t="n">
        <v>11</v>
      </c>
    </row>
    <row r="55" s="45" customFormat="true" ht="11.25" hidden="false" customHeight="true" outlineLevel="0" collapsed="false">
      <c r="A55" s="608"/>
      <c r="C55" s="49"/>
      <c r="D55" s="649"/>
      <c r="E55" s="610" t="str">
        <f aca="false">FHD_NUM_P_19</f>
        <v>2.6</v>
      </c>
      <c r="F55" s="577" t="str">
        <f aca="false">FHD_P_19</f>
        <v>Расходы на амортизацию основных средств и нематериальных активов</v>
      </c>
      <c r="G55" s="150" t="s">
        <v>549</v>
      </c>
      <c r="H55" s="630"/>
      <c r="I55" s="630"/>
      <c r="J55" s="423" t="str">
        <f aca="false">FHD_NOTE_P_19</f>
        <v/>
      </c>
      <c r="K55" s="49" t="str">
        <f aca="false">IF((LEN(E55)-LEN(SUBSTITUTE(E55,".","")))/LEN(".")=1,"p","")</f>
        <v>p</v>
      </c>
      <c r="L55" s="49"/>
      <c r="M55" s="49"/>
      <c r="R55" s="49"/>
      <c r="U55" s="609"/>
      <c r="AA55" s="48"/>
      <c r="AB55" s="48"/>
      <c r="AC55" s="48"/>
      <c r="AD55" s="48"/>
      <c r="AE55" s="48"/>
      <c r="AF55" s="45" t="n">
        <v>11</v>
      </c>
    </row>
    <row r="56" s="45" customFormat="true" ht="11.25" hidden="false" customHeight="true" outlineLevel="0" collapsed="false">
      <c r="A56" s="608"/>
      <c r="C56" s="49"/>
      <c r="D56" s="649"/>
      <c r="E56" s="610" t="str">
        <f aca="false">FHD_NUM_P_20</f>
        <v>2.6.1</v>
      </c>
      <c r="F56" s="646" t="str">
        <f aca="false">FHD_P_20</f>
        <v>Расходы на амортизацию основных средств</v>
      </c>
      <c r="G56" s="150" t="s">
        <v>549</v>
      </c>
      <c r="H56" s="630"/>
      <c r="I56" s="630"/>
      <c r="J56" s="423" t="str">
        <f aca="false">FHD_NOTE_P_20</f>
        <v/>
      </c>
      <c r="K56" s="49" t="str">
        <f aca="false">IF((LEN(E56)-LEN(SUBSTITUTE(E56,".","")))/LEN(".")=1,"p","")</f>
        <v/>
      </c>
      <c r="L56" s="49"/>
      <c r="M56" s="49"/>
      <c r="R56" s="49"/>
      <c r="U56" s="609"/>
      <c r="AA56" s="48"/>
      <c r="AB56" s="48"/>
      <c r="AC56" s="48"/>
      <c r="AD56" s="48"/>
      <c r="AE56" s="48"/>
      <c r="AF56" s="45" t="n">
        <v>11</v>
      </c>
    </row>
    <row r="57" s="45" customFormat="true" ht="11.25" hidden="false" customHeight="true" outlineLevel="0" collapsed="false">
      <c r="A57" s="608"/>
      <c r="C57" s="49"/>
      <c r="D57" s="649"/>
      <c r="E57" s="610" t="str">
        <f aca="false">FHD_NUM_P_21</f>
        <v>2.6.2</v>
      </c>
      <c r="F57" s="646" t="str">
        <f aca="false">FHD_P_21</f>
        <v>Расходы на амортизацию нематериальных активов</v>
      </c>
      <c r="G57" s="150" t="s">
        <v>549</v>
      </c>
      <c r="H57" s="630"/>
      <c r="I57" s="630"/>
      <c r="J57" s="423" t="str">
        <f aca="false">FHD_NOTE_P_21</f>
        <v/>
      </c>
      <c r="K57" s="49" t="str">
        <f aca="false">IF((LEN(E57)-LEN(SUBSTITUTE(E57,".","")))/LEN(".")=1,"p","")</f>
        <v/>
      </c>
      <c r="L57" s="49"/>
      <c r="M57" s="49"/>
      <c r="R57" s="49"/>
      <c r="U57" s="609"/>
      <c r="AA57" s="48"/>
      <c r="AB57" s="48"/>
      <c r="AC57" s="48"/>
      <c r="AD57" s="48"/>
      <c r="AE57" s="48"/>
      <c r="AF57" s="45" t="n">
        <v>11</v>
      </c>
    </row>
    <row r="58" s="45" customFormat="true" ht="11.25" hidden="false" customHeight="true" outlineLevel="0" collapsed="false">
      <c r="A58" s="608"/>
      <c r="C58" s="49"/>
      <c r="D58" s="118"/>
      <c r="E58" s="610" t="str">
        <f aca="false">FHD_NUM_P_22</f>
        <v>2.7</v>
      </c>
      <c r="F58" s="577" t="str">
        <f aca="false">FHD_P_22</f>
        <v>Расходы на аренду имущества, используемого для осуществления регулируемых видов деятельности в сфере водоотведения</v>
      </c>
      <c r="G58" s="150" t="s">
        <v>549</v>
      </c>
      <c r="H58" s="630"/>
      <c r="I58" s="630"/>
      <c r="J58" s="423" t="str">
        <f aca="false">FHD_NOTE_P_22</f>
        <v/>
      </c>
      <c r="K58" s="49" t="str">
        <f aca="false">IF((LEN(E58)-LEN(SUBSTITUTE(E58,".","")))/LEN(".")=1,"p","")</f>
        <v>p</v>
      </c>
      <c r="L58" s="49"/>
      <c r="M58" s="49"/>
      <c r="R58" s="49"/>
      <c r="U58" s="609"/>
      <c r="AA58" s="48"/>
      <c r="AB58" s="48"/>
      <c r="AC58" s="48"/>
      <c r="AD58" s="48"/>
      <c r="AE58" s="48"/>
      <c r="AF58" s="45" t="n">
        <v>11</v>
      </c>
    </row>
    <row r="59" s="45" customFormat="true" ht="11.25" hidden="false" customHeight="true" outlineLevel="0" collapsed="false">
      <c r="A59" s="608"/>
      <c r="C59" s="49"/>
      <c r="D59" s="649"/>
      <c r="E59" s="610" t="str">
        <f aca="false">FHD_NUM_P_23</f>
        <v>2.8</v>
      </c>
      <c r="F59" s="577" t="str">
        <f aca="false">FHD_P_23</f>
        <v>Общепроизводственные расходы, в том числе:</v>
      </c>
      <c r="G59" s="150" t="s">
        <v>549</v>
      </c>
      <c r="H59" s="630"/>
      <c r="I59" s="630"/>
      <c r="J59" s="423" t="str">
        <f aca="false">FHD_NOTE_P_23</f>
        <v>Указывается общая сумма общепроизводственных расходов.</v>
      </c>
      <c r="K59" s="49" t="str">
        <f aca="false">IF((LEN(E59)-LEN(SUBSTITUTE(E59,".","")))/LEN(".")=1,"p","")</f>
        <v>p</v>
      </c>
      <c r="L59" s="49"/>
      <c r="M59" s="49"/>
      <c r="R59" s="49"/>
      <c r="U59" s="609"/>
      <c r="AA59" s="48"/>
      <c r="AB59" s="48"/>
      <c r="AC59" s="48"/>
      <c r="AD59" s="48"/>
      <c r="AE59" s="48"/>
      <c r="AF59" s="45" t="n">
        <v>11</v>
      </c>
    </row>
    <row r="60" s="45" customFormat="true" ht="11.25" hidden="false" customHeight="true" outlineLevel="0" collapsed="false">
      <c r="A60" s="608"/>
      <c r="C60" s="49"/>
      <c r="D60" s="649"/>
      <c r="E60" s="610" t="str">
        <f aca="false">FHD_NUM_P_24</f>
        <v>2.8.1</v>
      </c>
      <c r="F60" s="646" t="str">
        <f aca="false">FHD_P_24</f>
        <v>Расходы на текущий ремонт</v>
      </c>
      <c r="G60" s="150" t="s">
        <v>549</v>
      </c>
      <c r="H60" s="630"/>
      <c r="I60" s="630"/>
      <c r="J60" s="423" t="str">
        <f aca="false">FHD_NOTE_P_24</f>
        <v>Указываются расходы на текущий ремонт, отнесенные к общепроизводственным расходам.</v>
      </c>
      <c r="K60" s="49" t="str">
        <f aca="false">IF((LEN(E60)-LEN(SUBSTITUTE(E60,".","")))/LEN(".")=1,"p","")</f>
        <v/>
      </c>
      <c r="L60" s="49"/>
      <c r="M60" s="49"/>
      <c r="R60" s="49"/>
      <c r="U60" s="609"/>
      <c r="AA60" s="48"/>
      <c r="AB60" s="48"/>
      <c r="AC60" s="48"/>
      <c r="AD60" s="48"/>
      <c r="AE60" s="48"/>
      <c r="AF60" s="45" t="n">
        <v>11</v>
      </c>
    </row>
    <row r="61" s="45" customFormat="true" ht="11.25" hidden="false" customHeight="true" outlineLevel="0" collapsed="false">
      <c r="A61" s="608"/>
      <c r="C61" s="49"/>
      <c r="D61" s="649"/>
      <c r="E61" s="610" t="str">
        <f aca="false">FHD_NUM_P_25</f>
        <v>2.8.2</v>
      </c>
      <c r="F61" s="646" t="str">
        <f aca="false">FHD_P_25</f>
        <v>Расходы на капитальный ремонт</v>
      </c>
      <c r="G61" s="150" t="s">
        <v>549</v>
      </c>
      <c r="H61" s="630"/>
      <c r="I61" s="630"/>
      <c r="J61" s="423" t="str">
        <f aca="false">FHD_NOTE_P_25</f>
        <v>Указываются расходы на капитальный ремонт, отнесенные к общепроизводственным расходам.</v>
      </c>
      <c r="K61" s="49" t="str">
        <f aca="false">IF((LEN(E61)-LEN(SUBSTITUTE(E61,".","")))/LEN(".")=1,"p","")</f>
        <v/>
      </c>
      <c r="L61" s="49"/>
      <c r="M61" s="49"/>
      <c r="R61" s="49"/>
      <c r="U61" s="609"/>
      <c r="AA61" s="48"/>
      <c r="AB61" s="48"/>
      <c r="AC61" s="48"/>
      <c r="AD61" s="48"/>
      <c r="AE61" s="48"/>
      <c r="AF61" s="45" t="n">
        <v>11</v>
      </c>
    </row>
    <row r="62" s="45" customFormat="true" ht="11.25" hidden="false" customHeight="true" outlineLevel="0" collapsed="false">
      <c r="A62" s="608"/>
      <c r="C62" s="49"/>
      <c r="D62" s="118"/>
      <c r="E62" s="610" t="str">
        <f aca="false">FHD_NUM_P_26</f>
        <v>2.9</v>
      </c>
      <c r="F62" s="577" t="str">
        <f aca="false">FHD_P_26</f>
        <v>Общехозяйственные расходы, в том числе:</v>
      </c>
      <c r="G62" s="150" t="s">
        <v>549</v>
      </c>
      <c r="H62" s="630"/>
      <c r="I62" s="630"/>
      <c r="J62" s="423" t="str">
        <f aca="false">FHD_NOTE_P_26</f>
        <v>Указывается общая сумма общехозяйственных расходов.</v>
      </c>
      <c r="K62" s="49" t="str">
        <f aca="false">IF((LEN(E62)-LEN(SUBSTITUTE(E62,".","")))/LEN(".")=1,"p","")</f>
        <v>p</v>
      </c>
      <c r="L62" s="49"/>
      <c r="M62" s="49"/>
      <c r="R62" s="49"/>
      <c r="U62" s="609"/>
      <c r="AA62" s="48"/>
      <c r="AB62" s="48"/>
      <c r="AC62" s="48"/>
      <c r="AD62" s="48"/>
      <c r="AE62" s="48"/>
      <c r="AF62" s="45" t="n">
        <v>11</v>
      </c>
    </row>
    <row r="63" s="45" customFormat="true" ht="11.25" hidden="false" customHeight="true" outlineLevel="0" collapsed="false">
      <c r="A63" s="608"/>
      <c r="C63" s="49"/>
      <c r="D63" s="118"/>
      <c r="E63" s="610" t="str">
        <f aca="false">FHD_NUM_P_27</f>
        <v>2.9.1</v>
      </c>
      <c r="F63" s="646" t="str">
        <f aca="false">FHD_P_27</f>
        <v>Расходы на текущий ремонт</v>
      </c>
      <c r="G63" s="150" t="s">
        <v>549</v>
      </c>
      <c r="H63" s="630"/>
      <c r="I63" s="630"/>
      <c r="J63" s="423" t="str">
        <f aca="false">FHD_NOTE_P_27</f>
        <v>Указываются расходы на текущий ремонт, отнесенные к общехозяйственным расходам.</v>
      </c>
      <c r="K63" s="49" t="str">
        <f aca="false">IF((LEN(E63)-LEN(SUBSTITUTE(E63,".","")))/LEN(".")=1,"p","")</f>
        <v/>
      </c>
      <c r="L63" s="49"/>
      <c r="M63" s="49"/>
      <c r="R63" s="49"/>
      <c r="U63" s="609"/>
      <c r="AA63" s="48"/>
      <c r="AB63" s="48"/>
      <c r="AC63" s="48"/>
      <c r="AD63" s="48"/>
      <c r="AE63" s="48"/>
      <c r="AF63" s="45" t="n">
        <v>11</v>
      </c>
    </row>
    <row r="64" s="45" customFormat="true" ht="11.25" hidden="false" customHeight="true" outlineLevel="0" collapsed="false">
      <c r="A64" s="608"/>
      <c r="C64" s="49"/>
      <c r="D64" s="118"/>
      <c r="E64" s="610" t="str">
        <f aca="false">FHD_NUM_P_28</f>
        <v>2.9.2</v>
      </c>
      <c r="F64" s="646" t="str">
        <f aca="false">FHD_P_28</f>
        <v>Расходы на капитальный ремонт</v>
      </c>
      <c r="G64" s="150" t="s">
        <v>549</v>
      </c>
      <c r="H64" s="630"/>
      <c r="I64" s="630"/>
      <c r="J64" s="423" t="str">
        <f aca="false">FHD_NOTE_P_28</f>
        <v>Указываются расходы на капитальный ремонт, отнесенные к общехозяйственным расходам.</v>
      </c>
      <c r="K64" s="49" t="str">
        <f aca="false">IF((LEN(E64)-LEN(SUBSTITUTE(E64,".","")))/LEN(".")=1,"p","")</f>
        <v/>
      </c>
      <c r="L64" s="49"/>
      <c r="M64" s="49"/>
      <c r="R64" s="49"/>
      <c r="U64" s="609"/>
      <c r="AA64" s="48"/>
      <c r="AB64" s="48"/>
      <c r="AC64" s="48"/>
      <c r="AD64" s="48"/>
      <c r="AE64" s="48"/>
      <c r="AF64" s="45" t="n">
        <v>11</v>
      </c>
    </row>
    <row r="65" s="45" customFormat="true" ht="11.25" hidden="false" customHeight="true" outlineLevel="0" collapsed="false">
      <c r="A65" s="608"/>
      <c r="C65" s="49"/>
      <c r="D65" s="118"/>
      <c r="E65" s="610" t="str">
        <f aca="false">FHD_NUM_P_29</f>
        <v>2.10</v>
      </c>
      <c r="F65" s="577" t="str">
        <f aca="false">FHD_P_29</f>
        <v>Расходы на капитальный и текущий ремонт основных средств</v>
      </c>
      <c r="G65" s="150" t="s">
        <v>549</v>
      </c>
      <c r="H65" s="630"/>
      <c r="I65" s="630"/>
      <c r="J65" s="423" t="str">
        <f aca="false">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49" t="str">
        <f aca="false">IF((LEN(E65)-LEN(SUBSTITUTE(E65,".","")))/LEN(".")=1,"p","")</f>
        <v>p</v>
      </c>
      <c r="L65" s="49"/>
      <c r="M65" s="49"/>
      <c r="R65" s="49"/>
      <c r="U65" s="609"/>
      <c r="AA65" s="48"/>
      <c r="AB65" s="48"/>
      <c r="AC65" s="48"/>
      <c r="AD65" s="48"/>
      <c r="AE65" s="48"/>
      <c r="AF65" s="45" t="n">
        <v>11</v>
      </c>
    </row>
    <row r="66" s="45" customFormat="true" ht="11.25" hidden="false" customHeight="true" outlineLevel="0" collapsed="false">
      <c r="A66" s="608"/>
      <c r="C66" s="49"/>
      <c r="D66" s="118"/>
      <c r="E66" s="610" t="str">
        <f aca="false">FHD_NUM_P_30</f>
        <v>2.10.1</v>
      </c>
      <c r="F66" s="646" t="str">
        <f aca="false">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0" t="s">
        <v>303</v>
      </c>
      <c r="H66" s="334" t="s">
        <v>572</v>
      </c>
      <c r="I66" s="334" t="s">
        <v>572</v>
      </c>
      <c r="J66" s="423" t="str">
        <f aca="false">FHD_NOTE_P_30</f>
        <v/>
      </c>
      <c r="K66" s="49" t="str">
        <f aca="false">IF((LEN(E66)-LEN(SUBSTITUTE(E66,".","")))/LEN(".")=1,"p","")</f>
        <v/>
      </c>
      <c r="L66" s="49" t="n">
        <f aca="false">_xlfn.iferror(MATCH("есть",B_FHD_FLAG_INDEX_1,0),0)</f>
        <v>0</v>
      </c>
      <c r="M66" s="49"/>
      <c r="R66" s="49"/>
      <c r="U66" s="609"/>
      <c r="AA66" s="48"/>
      <c r="AB66" s="48"/>
      <c r="AC66" s="48"/>
      <c r="AD66" s="48"/>
      <c r="AE66" s="48"/>
      <c r="AF66" s="45" t="n">
        <v>11</v>
      </c>
    </row>
    <row r="67" s="45" customFormat="true" ht="23.25" hidden="false" customHeight="true" outlineLevel="0" collapsed="false">
      <c r="A67" s="632" t="s">
        <v>573</v>
      </c>
      <c r="C67" s="49"/>
      <c r="D67" s="118"/>
      <c r="E67" s="610" t="str">
        <f aca="false">FHD_NUM_P_31</f>
        <v>2.11</v>
      </c>
      <c r="F67" s="577" t="str">
        <f aca="false">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0" t="s">
        <v>549</v>
      </c>
      <c r="H67" s="630"/>
      <c r="I67" s="630"/>
      <c r="J67" s="423" t="str">
        <f aca="false">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49" t="str">
        <f aca="false">IF((LEN(E67)-LEN(SUBSTITUTE(E67,".","")))/LEN(".")=1,"p","")</f>
        <v>p</v>
      </c>
      <c r="L67" s="49"/>
      <c r="M67" s="49"/>
      <c r="R67" s="49"/>
      <c r="U67" s="609"/>
      <c r="AA67" s="48"/>
      <c r="AB67" s="48"/>
      <c r="AC67" s="48"/>
      <c r="AD67" s="48"/>
      <c r="AE67" s="48"/>
      <c r="AF67" s="45" t="n">
        <v>22</v>
      </c>
    </row>
    <row r="68" s="45" customFormat="true" ht="47.25" hidden="false" customHeight="true" outlineLevel="0" collapsed="false">
      <c r="A68" s="632"/>
      <c r="C68" s="49"/>
      <c r="D68" s="118"/>
      <c r="E68" s="610" t="str">
        <f aca="false">FHD_NUM_P_32</f>
        <v>2.11.1</v>
      </c>
      <c r="F68" s="646" t="str">
        <f aca="false">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0" t="s">
        <v>303</v>
      </c>
      <c r="H68" s="334" t="s">
        <v>572</v>
      </c>
      <c r="I68" s="334" t="s">
        <v>572</v>
      </c>
      <c r="J68" s="423" t="str">
        <f aca="false">FHD_NOTE_P_32</f>
        <v/>
      </c>
      <c r="K68" s="49" t="str">
        <f aca="false">IF((LEN(E68)-LEN(SUBSTITUTE(E68,".","")))/LEN(".")=1,"p","")</f>
        <v/>
      </c>
      <c r="L68" s="49" t="n">
        <f aca="false">_xlfn.iferror(MATCH("есть",B_FHD_FLAG_INDEX_2,0),0)</f>
        <v>0</v>
      </c>
      <c r="M68" s="49"/>
      <c r="R68" s="49"/>
      <c r="U68" s="609"/>
      <c r="AA68" s="48"/>
      <c r="AB68" s="48"/>
      <c r="AC68" s="48"/>
      <c r="AD68" s="48"/>
      <c r="AE68" s="48"/>
      <c r="AF68" s="45" t="n">
        <v>45</v>
      </c>
    </row>
    <row r="69" s="45" customFormat="true" ht="11.25" hidden="false" customHeight="true" outlineLevel="0" collapsed="false">
      <c r="A69" s="608"/>
      <c r="C69" s="49"/>
      <c r="D69" s="118"/>
      <c r="E69" s="610" t="str">
        <f aca="false">FHD_NUM_P_33</f>
        <v>2.12</v>
      </c>
      <c r="F69" s="577" t="str">
        <f aca="false">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60" t="s">
        <v>549</v>
      </c>
      <c r="H69" s="653" t="n">
        <f aca="false">SUM(H70:H71)</f>
        <v>0</v>
      </c>
      <c r="I69" s="653" t="n">
        <f aca="false">SUM(I70:I71)</f>
        <v>0</v>
      </c>
      <c r="J69" s="423" t="str">
        <f aca="false">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49" t="str">
        <f aca="false">IF((LEN(E69)-LEN(SUBSTITUTE(E69,".","")))/LEN(".")=1,"p","")</f>
        <v>p</v>
      </c>
      <c r="L69" s="49"/>
      <c r="M69" s="49"/>
      <c r="R69" s="49"/>
      <c r="U69" s="609"/>
      <c r="AA69" s="48"/>
      <c r="AB69" s="48"/>
      <c r="AC69" s="48"/>
      <c r="AD69" s="48"/>
      <c r="AE69" s="48"/>
      <c r="AF69" s="45" t="n">
        <v>11</v>
      </c>
    </row>
    <row r="70" s="49" customFormat="true" ht="0.75" hidden="false" customHeight="true" outlineLevel="0" collapsed="false">
      <c r="A70" s="462"/>
      <c r="D70" s="462"/>
      <c r="E70" s="151" t="str">
        <f aca="false">E69&amp;".0"</f>
        <v>2.12.0</v>
      </c>
      <c r="F70" s="654"/>
      <c r="G70" s="151"/>
      <c r="H70" s="655"/>
      <c r="I70" s="655"/>
      <c r="J70" s="656"/>
      <c r="K70" s="49" t="str">
        <f aca="false">IF((LEN(E70)-LEN(SUBSTITUTE(E70,".","")))/LEN(".")=1,"p","")</f>
        <v/>
      </c>
      <c r="AF70" s="49" t="n">
        <v>1</v>
      </c>
    </row>
    <row r="71" s="45" customFormat="true" ht="14.25" hidden="false" customHeight="true" outlineLevel="0" collapsed="false">
      <c r="A71" s="608"/>
      <c r="C71" s="49"/>
      <c r="D71" s="121"/>
      <c r="E71" s="643"/>
      <c r="F71" s="214" t="s">
        <v>574</v>
      </c>
      <c r="G71" s="644"/>
      <c r="H71" s="645"/>
      <c r="I71" s="645"/>
      <c r="J71" s="481"/>
      <c r="K71" s="49"/>
      <c r="L71" s="49"/>
      <c r="M71" s="49"/>
      <c r="R71" s="49"/>
      <c r="U71" s="609"/>
      <c r="AA71" s="48"/>
      <c r="AB71" s="48"/>
      <c r="AC71" s="48"/>
      <c r="AD71" s="48"/>
      <c r="AE71" s="48"/>
      <c r="AF71" s="45" t="n">
        <v>14</v>
      </c>
    </row>
    <row r="72" s="45" customFormat="true" ht="18.75" hidden="true" customHeight="true" outlineLevel="0" collapsed="false">
      <c r="A72" s="648" t="s">
        <v>575</v>
      </c>
      <c r="C72" s="49"/>
      <c r="D72" s="118"/>
      <c r="E72" s="610" t="str">
        <f aca="false">FHD_NUM_P_34</f>
        <v/>
      </c>
      <c r="F72" s="629" t="str">
        <f aca="false">FHD_P_34</f>
        <v/>
      </c>
      <c r="G72" s="150" t="s">
        <v>549</v>
      </c>
      <c r="H72" s="630"/>
      <c r="I72" s="630"/>
      <c r="J72" s="423" t="str">
        <f aca="false">FHD_NOTE_P_34</f>
        <v/>
      </c>
      <c r="K72" s="613"/>
      <c r="L72" s="49"/>
      <c r="M72" s="49"/>
      <c r="R72" s="49"/>
      <c r="U72" s="609"/>
      <c r="AA72" s="48"/>
      <c r="AB72" s="48"/>
      <c r="AC72" s="48"/>
      <c r="AD72" s="48"/>
      <c r="AE72" s="48"/>
      <c r="AF72" s="45" t="n">
        <v>0</v>
      </c>
    </row>
    <row r="73" s="45" customFormat="true" ht="19.5" hidden="false" customHeight="true" outlineLevel="0" collapsed="false">
      <c r="A73" s="608"/>
      <c r="C73" s="49"/>
      <c r="D73" s="649"/>
      <c r="E73" s="610" t="str">
        <f aca="false">FHD_NUM_P_35</f>
        <v>3</v>
      </c>
      <c r="F73" s="629" t="str">
        <f aca="false">FHD_P_35</f>
        <v>Чистая прибыль, полученная от регулируемого вида деятельности в сфере водоотведения, в том числе:</v>
      </c>
      <c r="G73" s="150" t="s">
        <v>549</v>
      </c>
      <c r="H73" s="630"/>
      <c r="I73" s="630"/>
      <c r="J73" s="423" t="str">
        <f aca="false">FHD_NOTE_P_35</f>
        <v>Указывается общая сумма чистой прибыли, полученной от регулируемого вида деятельности.</v>
      </c>
      <c r="K73" s="613"/>
      <c r="L73" s="49"/>
      <c r="M73" s="49"/>
      <c r="R73" s="49"/>
      <c r="U73" s="609"/>
      <c r="AA73" s="48"/>
      <c r="AB73" s="48"/>
      <c r="AC73" s="48"/>
      <c r="AD73" s="48"/>
      <c r="AE73" s="48"/>
      <c r="AF73" s="45" t="n">
        <v>19</v>
      </c>
    </row>
    <row r="74" s="45" customFormat="true" ht="19.5" hidden="false" customHeight="true" outlineLevel="0" collapsed="false">
      <c r="A74" s="608"/>
      <c r="C74" s="49"/>
      <c r="D74" s="118"/>
      <c r="E74" s="610" t="str">
        <f aca="false">FHD_NUM_P_36</f>
        <v>3.1</v>
      </c>
      <c r="F74" s="577" t="str">
        <f aca="false">FHD_P_36</f>
        <v>Размер расходования чистой прибыли на финансирование мероприятий, предусмотренных инвестиционной программой регулируемой организации</v>
      </c>
      <c r="G74" s="150" t="s">
        <v>549</v>
      </c>
      <c r="H74" s="630"/>
      <c r="I74" s="630"/>
      <c r="J74" s="423" t="str">
        <f aca="false">FHD_NOTE_P_36</f>
        <v/>
      </c>
      <c r="K74" s="613"/>
      <c r="L74" s="49"/>
      <c r="M74" s="49"/>
      <c r="R74" s="49"/>
      <c r="U74" s="609"/>
      <c r="AA74" s="48"/>
      <c r="AB74" s="48"/>
      <c r="AC74" s="48"/>
      <c r="AD74" s="48"/>
      <c r="AE74" s="48"/>
      <c r="AF74" s="45" t="n">
        <v>19</v>
      </c>
    </row>
    <row r="75" s="45" customFormat="true" ht="19.5" hidden="false" customHeight="true" outlineLevel="0" collapsed="false">
      <c r="A75" s="608"/>
      <c r="C75" s="49"/>
      <c r="D75" s="118"/>
      <c r="E75" s="610" t="str">
        <f aca="false">FHD_NUM_P_37</f>
        <v>4</v>
      </c>
      <c r="F75" s="629" t="str">
        <f aca="false">FHD_P_37</f>
        <v>Изменение стоимости основных фондов, в том числе:</v>
      </c>
      <c r="G75" s="150" t="s">
        <v>549</v>
      </c>
      <c r="H75" s="630"/>
      <c r="I75" s="630"/>
      <c r="J75" s="423" t="str">
        <f aca="false">FHD_NOTE_P_37</f>
        <v>Указывается общее изменение стоимости основных фондов.</v>
      </c>
      <c r="K75" s="613"/>
      <c r="L75" s="49"/>
      <c r="M75" s="49"/>
      <c r="R75" s="49"/>
      <c r="U75" s="609"/>
      <c r="AA75" s="48"/>
      <c r="AB75" s="48"/>
      <c r="AC75" s="48"/>
      <c r="AD75" s="48"/>
      <c r="AE75" s="48"/>
      <c r="AF75" s="45" t="n">
        <v>19</v>
      </c>
    </row>
    <row r="76" s="45" customFormat="true" ht="19.5" hidden="false" customHeight="true" outlineLevel="0" collapsed="false">
      <c r="A76" s="608"/>
      <c r="C76" s="49"/>
      <c r="D76" s="118"/>
      <c r="E76" s="610" t="str">
        <f aca="false">FHD_NUM_P_38</f>
        <v>4.1</v>
      </c>
      <c r="F76" s="577" t="str">
        <f aca="false">FHD_P_38</f>
        <v>Изменение стоимости основных фондов за счет их ввода в эксплуатацию (вывода из эксплуатации)</v>
      </c>
      <c r="G76" s="150" t="s">
        <v>549</v>
      </c>
      <c r="H76" s="630"/>
      <c r="I76" s="630"/>
      <c r="J76" s="423" t="str">
        <f aca="false">FHD_NOTE_P_38</f>
        <v>Указываются общее изменение стоимости основных фондов за счет их ввода в эксплуатацию и вывода из эксплуатации.</v>
      </c>
      <c r="K76" s="613"/>
      <c r="L76" s="49"/>
      <c r="M76" s="49"/>
      <c r="R76" s="49"/>
      <c r="U76" s="609"/>
      <c r="AA76" s="48"/>
      <c r="AB76" s="48"/>
      <c r="AC76" s="48"/>
      <c r="AD76" s="48"/>
      <c r="AE76" s="48"/>
      <c r="AF76" s="45" t="n">
        <v>19</v>
      </c>
    </row>
    <row r="77" s="45" customFormat="true" ht="19.5" hidden="false" customHeight="true" outlineLevel="0" collapsed="false">
      <c r="A77" s="608"/>
      <c r="C77" s="49"/>
      <c r="D77" s="118"/>
      <c r="E77" s="610" t="str">
        <f aca="false">FHD_NUM_P_39</f>
        <v>4.1.1</v>
      </c>
      <c r="F77" s="646" t="str">
        <f aca="false">FHD_P_39</f>
        <v>Изменение стоимости основных фондов за счет их ввода в эксплуатацию</v>
      </c>
      <c r="G77" s="260" t="s">
        <v>549</v>
      </c>
      <c r="H77" s="630"/>
      <c r="I77" s="630"/>
      <c r="J77" s="423" t="str">
        <f aca="false">FHD_NOTE_P_39</f>
        <v>Указываются изменение стоимости основных фондов за счет их ввода в эксплуатацию.</v>
      </c>
      <c r="K77" s="613"/>
      <c r="L77" s="49"/>
      <c r="M77" s="49"/>
      <c r="R77" s="49"/>
      <c r="U77" s="609"/>
      <c r="AA77" s="48"/>
      <c r="AB77" s="48"/>
      <c r="AC77" s="48"/>
      <c r="AD77" s="48"/>
      <c r="AE77" s="48"/>
      <c r="AF77" s="45" t="n">
        <v>19</v>
      </c>
    </row>
    <row r="78" s="45" customFormat="true" ht="19.5" hidden="false" customHeight="true" outlineLevel="0" collapsed="false">
      <c r="A78" s="608"/>
      <c r="C78" s="49"/>
      <c r="D78" s="118"/>
      <c r="E78" s="610" t="str">
        <f aca="false">FHD_NUM_P_40</f>
        <v>4.1.2</v>
      </c>
      <c r="F78" s="657" t="str">
        <f aca="false">FHD_P_40</f>
        <v>Изменение стоимости основных фондов за счет их вывода в эксплуатацию</v>
      </c>
      <c r="G78" s="150" t="s">
        <v>549</v>
      </c>
      <c r="H78" s="658"/>
      <c r="I78" s="630"/>
      <c r="J78" s="423" t="str">
        <f aca="false">FHD_NOTE_P_40</f>
        <v>Указываются изменение стоимости основных фондов за счет их вывода из эксплуатации.</v>
      </c>
      <c r="K78" s="613"/>
      <c r="L78" s="49"/>
      <c r="M78" s="49"/>
      <c r="R78" s="49"/>
      <c r="U78" s="609"/>
      <c r="AA78" s="48"/>
      <c r="AB78" s="48"/>
      <c r="AC78" s="48"/>
      <c r="AD78" s="48"/>
      <c r="AE78" s="48"/>
      <c r="AF78" s="45" t="n">
        <v>19</v>
      </c>
    </row>
    <row r="79" s="45" customFormat="true" ht="19.5" hidden="false" customHeight="true" outlineLevel="0" collapsed="false">
      <c r="A79" s="608"/>
      <c r="C79" s="49"/>
      <c r="D79" s="118"/>
      <c r="E79" s="610" t="str">
        <f aca="false">FHD_NUM_P_41</f>
        <v>4.2</v>
      </c>
      <c r="F79" s="659" t="str">
        <f aca="false">FHD_P_41</f>
        <v>Изменение стоимости основных фондов за счет их переоценки</v>
      </c>
      <c r="G79" s="150" t="s">
        <v>549</v>
      </c>
      <c r="H79" s="658"/>
      <c r="I79" s="630"/>
      <c r="J79" s="423" t="str">
        <f aca="false">FHD_NOTE_P_41</f>
        <v/>
      </c>
      <c r="K79" s="613"/>
      <c r="L79" s="49"/>
      <c r="M79" s="49"/>
      <c r="R79" s="49"/>
      <c r="U79" s="609"/>
      <c r="AA79" s="48"/>
      <c r="AB79" s="48"/>
      <c r="AC79" s="48"/>
      <c r="AD79" s="48"/>
      <c r="AE79" s="48"/>
      <c r="AF79" s="45" t="n">
        <v>19</v>
      </c>
    </row>
    <row r="80" s="45" customFormat="true" ht="19.5" hidden="false" customHeight="true" outlineLevel="0" collapsed="false">
      <c r="A80" s="648" t="s">
        <v>576</v>
      </c>
      <c r="C80" s="49"/>
      <c r="D80" s="118"/>
      <c r="E80" s="610" t="str">
        <f aca="false">FHD_NUM_P_42</f>
        <v>5</v>
      </c>
      <c r="F80" s="660" t="str">
        <f aca="false">FHD_P_42</f>
        <v>Валовая прибыль (убытки) от продажи товаров и услуг по регулируемым видам деятельности в сфере водоотведения</v>
      </c>
      <c r="G80" s="150" t="s">
        <v>549</v>
      </c>
      <c r="H80" s="658"/>
      <c r="I80" s="630"/>
      <c r="J80" s="423" t="str">
        <f aca="false">FHD_NOTE_P_42</f>
        <v/>
      </c>
      <c r="K80" s="613"/>
      <c r="L80" s="49"/>
      <c r="M80" s="49"/>
      <c r="R80" s="49"/>
      <c r="U80" s="609"/>
      <c r="AA80" s="48"/>
      <c r="AB80" s="48"/>
      <c r="AC80" s="48"/>
      <c r="AD80" s="48"/>
      <c r="AE80" s="48"/>
      <c r="AF80" s="45" t="n">
        <v>19</v>
      </c>
    </row>
    <row r="81" s="45" customFormat="true" ht="19.5" hidden="false" customHeight="true" outlineLevel="0" collapsed="false">
      <c r="A81" s="608"/>
      <c r="C81" s="49"/>
      <c r="D81" s="118"/>
      <c r="E81" s="610" t="str">
        <f aca="false">FHD_NUM_P_43</f>
        <v>6</v>
      </c>
      <c r="F81" s="629" t="str">
        <f aca="false">FHD_P_43</f>
        <v>Годовая бухгалтерская (финансовая) отчетность, включая бухгалтерский баланс и приложения к нему</v>
      </c>
      <c r="G81" s="155" t="s">
        <v>303</v>
      </c>
      <c r="H81" s="661"/>
      <c r="I81" s="662"/>
      <c r="J81" s="423" t="str">
        <f aca="false">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3"/>
      <c r="L81" s="49"/>
      <c r="M81" s="49"/>
      <c r="R81" s="49"/>
      <c r="U81" s="609"/>
      <c r="AA81" s="48"/>
      <c r="AB81" s="48"/>
      <c r="AC81" s="48"/>
      <c r="AD81" s="48"/>
      <c r="AE81" s="48"/>
      <c r="AF81" s="45" t="n">
        <v>19</v>
      </c>
    </row>
    <row r="82" s="45" customFormat="true" ht="18.75" hidden="true" customHeight="true" outlineLevel="0" collapsed="false">
      <c r="A82" s="632" t="s">
        <v>577</v>
      </c>
      <c r="C82" s="49"/>
      <c r="D82" s="118"/>
      <c r="E82" s="610" t="str">
        <f aca="false">FHD_NUM_P_44</f>
        <v/>
      </c>
      <c r="F82" s="629" t="str">
        <f aca="false">FHD_P_44</f>
        <v/>
      </c>
      <c r="G82" s="150" t="s">
        <v>578</v>
      </c>
      <c r="H82" s="663"/>
      <c r="I82" s="650"/>
      <c r="J82" s="423" t="str">
        <f aca="false">FHD_NOTE_P_44</f>
        <v/>
      </c>
      <c r="K82" s="613"/>
      <c r="L82" s="49"/>
      <c r="M82" s="49"/>
      <c r="R82" s="49"/>
      <c r="U82" s="609"/>
      <c r="AA82" s="48"/>
      <c r="AB82" s="48"/>
      <c r="AC82" s="48"/>
      <c r="AD82" s="48"/>
      <c r="AE82" s="48"/>
      <c r="AF82" s="45" t="n">
        <v>0</v>
      </c>
    </row>
    <row r="83" s="45" customFormat="true" ht="18.75" hidden="true" customHeight="true" outlineLevel="0" collapsed="false">
      <c r="A83" s="632"/>
      <c r="C83" s="49"/>
      <c r="D83" s="118"/>
      <c r="E83" s="610" t="str">
        <f aca="false">FHD_NUM_P_45</f>
        <v/>
      </c>
      <c r="F83" s="629" t="str">
        <f aca="false">FHD_P_45</f>
        <v/>
      </c>
      <c r="G83" s="150" t="s">
        <v>578</v>
      </c>
      <c r="H83" s="663"/>
      <c r="I83" s="650"/>
      <c r="J83" s="423" t="str">
        <f aca="false">FHD_NOTE_P_45</f>
        <v/>
      </c>
      <c r="K83" s="613"/>
      <c r="L83" s="49"/>
      <c r="M83" s="49"/>
      <c r="R83" s="49"/>
      <c r="U83" s="609"/>
      <c r="AA83" s="48"/>
      <c r="AB83" s="48"/>
      <c r="AC83" s="48"/>
      <c r="AD83" s="48"/>
      <c r="AE83" s="48"/>
      <c r="AF83" s="45" t="n">
        <v>0</v>
      </c>
    </row>
    <row r="84" s="45" customFormat="true" ht="18.75" hidden="true" customHeight="true" outlineLevel="0" collapsed="false">
      <c r="A84" s="632"/>
      <c r="C84" s="49"/>
      <c r="D84" s="649"/>
      <c r="E84" s="610" t="str">
        <f aca="false">FHD_NUM_P_46</f>
        <v/>
      </c>
      <c r="F84" s="629" t="str">
        <f aca="false">FHD_P_46</f>
        <v/>
      </c>
      <c r="G84" s="150" t="s">
        <v>578</v>
      </c>
      <c r="H84" s="663"/>
      <c r="I84" s="650"/>
      <c r="J84" s="423" t="str">
        <f aca="false">FHD_NOTE_P_46</f>
        <v/>
      </c>
      <c r="K84" s="613"/>
      <c r="L84" s="49"/>
      <c r="M84" s="49"/>
      <c r="R84" s="49"/>
      <c r="U84" s="609"/>
      <c r="AA84" s="48"/>
      <c r="AB84" s="48"/>
      <c r="AC84" s="48"/>
      <c r="AD84" s="48"/>
      <c r="AE84" s="48"/>
      <c r="AF84" s="45" t="n">
        <v>0</v>
      </c>
    </row>
    <row r="85" s="45" customFormat="true" ht="18.75" hidden="true" customHeight="true" outlineLevel="0" collapsed="false">
      <c r="A85" s="632"/>
      <c r="C85" s="49"/>
      <c r="D85" s="118"/>
      <c r="E85" s="610" t="str">
        <f aca="false">FHD_NUM_P_47</f>
        <v/>
      </c>
      <c r="F85" s="629" t="str">
        <f aca="false">FHD_P_47</f>
        <v/>
      </c>
      <c r="G85" s="150" t="s">
        <v>578</v>
      </c>
      <c r="H85" s="663"/>
      <c r="I85" s="650"/>
      <c r="J85" s="423" t="str">
        <f aca="false">FHD_NOTE_P_47</f>
        <v/>
      </c>
      <c r="K85" s="613"/>
      <c r="L85" s="49"/>
      <c r="M85" s="49"/>
      <c r="R85" s="49"/>
      <c r="U85" s="609"/>
      <c r="AA85" s="48"/>
      <c r="AB85" s="48"/>
      <c r="AC85" s="48"/>
      <c r="AD85" s="48"/>
      <c r="AE85" s="48"/>
      <c r="AF85" s="45" t="n">
        <v>0</v>
      </c>
    </row>
    <row r="86" s="42" customFormat="true" ht="18.75" hidden="true" customHeight="true" outlineLevel="0" collapsed="false">
      <c r="A86" s="632"/>
      <c r="B86" s="45"/>
      <c r="C86" s="49"/>
      <c r="D86" s="118"/>
      <c r="E86" s="610" t="str">
        <f aca="false">FHD_NUM_P_48</f>
        <v/>
      </c>
      <c r="F86" s="629" t="str">
        <f aca="false">FHD_P_48</f>
        <v/>
      </c>
      <c r="G86" s="150" t="s">
        <v>578</v>
      </c>
      <c r="H86" s="663"/>
      <c r="I86" s="650"/>
      <c r="J86" s="423" t="str">
        <f aca="false">FHD_NOTE_P_48</f>
        <v/>
      </c>
      <c r="K86" s="613"/>
      <c r="L86" s="49"/>
      <c r="M86" s="49"/>
      <c r="N86" s="45"/>
      <c r="O86" s="45"/>
      <c r="P86" s="45"/>
      <c r="Q86" s="45"/>
      <c r="R86" s="49"/>
      <c r="S86" s="45"/>
      <c r="T86" s="45"/>
      <c r="U86" s="609"/>
      <c r="V86" s="45"/>
      <c r="W86" s="45"/>
      <c r="X86" s="45"/>
      <c r="Y86" s="45"/>
      <c r="Z86" s="45"/>
      <c r="AA86" s="48"/>
      <c r="AB86" s="48"/>
      <c r="AC86" s="48"/>
      <c r="AD86" s="48"/>
      <c r="AE86" s="48"/>
      <c r="AF86" s="42" t="n">
        <v>0</v>
      </c>
    </row>
    <row r="87" s="42" customFormat="true" ht="18.75" hidden="true" customHeight="true" outlineLevel="0" collapsed="false">
      <c r="A87" s="632"/>
      <c r="B87" s="45"/>
      <c r="C87" s="49"/>
      <c r="D87" s="118"/>
      <c r="E87" s="610" t="str">
        <f aca="false">FHD_NUM_P_49</f>
        <v/>
      </c>
      <c r="F87" s="629" t="str">
        <f aca="false">FHD_P_49</f>
        <v/>
      </c>
      <c r="G87" s="150" t="s">
        <v>578</v>
      </c>
      <c r="H87" s="664" t="n">
        <f aca="false">SUM(H88:H89)</f>
        <v>0</v>
      </c>
      <c r="I87" s="665" t="n">
        <f aca="false">SUM(I88:I89)</f>
        <v>0</v>
      </c>
      <c r="J87" s="423" t="str">
        <f aca="false">FHD_NOTE_P_49</f>
        <v/>
      </c>
      <c r="K87" s="613"/>
      <c r="L87" s="49"/>
      <c r="M87" s="49"/>
      <c r="N87" s="45"/>
      <c r="O87" s="45"/>
      <c r="P87" s="45"/>
      <c r="Q87" s="45"/>
      <c r="R87" s="49"/>
      <c r="S87" s="45"/>
      <c r="T87" s="45"/>
      <c r="U87" s="609"/>
      <c r="V87" s="45"/>
      <c r="W87" s="45"/>
      <c r="X87" s="45"/>
      <c r="Y87" s="45"/>
      <c r="Z87" s="45"/>
      <c r="AA87" s="48"/>
      <c r="AB87" s="48"/>
      <c r="AC87" s="48"/>
      <c r="AD87" s="48"/>
      <c r="AE87" s="48"/>
      <c r="AF87" s="42" t="n">
        <v>0</v>
      </c>
    </row>
    <row r="88" s="42" customFormat="true" ht="18.75" hidden="true" customHeight="true" outlineLevel="0" collapsed="false">
      <c r="A88" s="632"/>
      <c r="B88" s="45"/>
      <c r="C88" s="49"/>
      <c r="D88" s="118"/>
      <c r="E88" s="610" t="str">
        <f aca="false">FHD_NUM_P_50</f>
        <v/>
      </c>
      <c r="F88" s="629" t="str">
        <f aca="false">FHD_P_50</f>
        <v/>
      </c>
      <c r="G88" s="150" t="s">
        <v>578</v>
      </c>
      <c r="H88" s="663"/>
      <c r="I88" s="650"/>
      <c r="J88" s="423" t="str">
        <f aca="false">FHD_NOTE_P_50</f>
        <v/>
      </c>
      <c r="K88" s="613"/>
      <c r="L88" s="49"/>
      <c r="M88" s="49"/>
      <c r="N88" s="45"/>
      <c r="O88" s="45"/>
      <c r="P88" s="45"/>
      <c r="Q88" s="45"/>
      <c r="R88" s="49"/>
      <c r="S88" s="45"/>
      <c r="T88" s="45"/>
      <c r="U88" s="609"/>
      <c r="V88" s="45"/>
      <c r="W88" s="45"/>
      <c r="X88" s="45"/>
      <c r="Y88" s="45"/>
      <c r="Z88" s="45"/>
      <c r="AA88" s="48"/>
      <c r="AB88" s="48"/>
      <c r="AC88" s="48"/>
      <c r="AD88" s="48"/>
      <c r="AE88" s="48"/>
      <c r="AF88" s="42" t="n">
        <v>0</v>
      </c>
    </row>
    <row r="89" s="42" customFormat="true" ht="18.75" hidden="true" customHeight="true" outlineLevel="0" collapsed="false">
      <c r="A89" s="632"/>
      <c r="B89" s="45"/>
      <c r="C89" s="49"/>
      <c r="D89" s="118"/>
      <c r="E89" s="610" t="str">
        <f aca="false">FHD_NUM_P_51</f>
        <v/>
      </c>
      <c r="F89" s="629" t="str">
        <f aca="false">FHD_P_51</f>
        <v/>
      </c>
      <c r="G89" s="150" t="s">
        <v>578</v>
      </c>
      <c r="H89" s="663"/>
      <c r="I89" s="650"/>
      <c r="J89" s="423" t="str">
        <f aca="false">FHD_NOTE_P_51</f>
        <v/>
      </c>
      <c r="K89" s="613"/>
      <c r="L89" s="49"/>
      <c r="M89" s="49"/>
      <c r="N89" s="45"/>
      <c r="O89" s="45"/>
      <c r="P89" s="45"/>
      <c r="Q89" s="45"/>
      <c r="R89" s="49"/>
      <c r="S89" s="45"/>
      <c r="T89" s="45"/>
      <c r="U89" s="609"/>
      <c r="V89" s="45"/>
      <c r="W89" s="45"/>
      <c r="X89" s="45"/>
      <c r="Y89" s="45"/>
      <c r="Z89" s="45"/>
      <c r="AA89" s="48"/>
      <c r="AB89" s="48"/>
      <c r="AC89" s="48"/>
      <c r="AD89" s="48"/>
      <c r="AE89" s="48"/>
      <c r="AF89" s="42" t="n">
        <v>0</v>
      </c>
    </row>
    <row r="90" s="42" customFormat="true" ht="18.75" hidden="true" customHeight="true" outlineLevel="0" collapsed="false">
      <c r="A90" s="632"/>
      <c r="B90" s="45"/>
      <c r="C90" s="49"/>
      <c r="D90" s="118"/>
      <c r="E90" s="610" t="str">
        <f aca="false">FHD_NUM_P_52</f>
        <v/>
      </c>
      <c r="F90" s="629" t="str">
        <f aca="false">FHD_P_52</f>
        <v/>
      </c>
      <c r="G90" s="150" t="s">
        <v>555</v>
      </c>
      <c r="H90" s="658"/>
      <c r="I90" s="630"/>
      <c r="J90" s="423" t="str">
        <f aca="false">FHD_NOTE_P_52</f>
        <v/>
      </c>
      <c r="K90" s="613"/>
      <c r="L90" s="49"/>
      <c r="M90" s="49"/>
      <c r="N90" s="45"/>
      <c r="O90" s="45"/>
      <c r="P90" s="45"/>
      <c r="Q90" s="45"/>
      <c r="R90" s="49"/>
      <c r="S90" s="45"/>
      <c r="T90" s="45"/>
      <c r="U90" s="609"/>
      <c r="V90" s="45"/>
      <c r="W90" s="45"/>
      <c r="X90" s="45"/>
      <c r="Y90" s="45"/>
      <c r="Z90" s="45"/>
      <c r="AA90" s="48"/>
      <c r="AB90" s="48"/>
      <c r="AC90" s="48"/>
      <c r="AD90" s="48"/>
      <c r="AE90" s="48"/>
      <c r="AF90" s="42" t="n">
        <v>0</v>
      </c>
    </row>
    <row r="91" s="45" customFormat="true" ht="18.75" hidden="true" customHeight="true" outlineLevel="0" collapsed="false">
      <c r="A91" s="632" t="s">
        <v>579</v>
      </c>
      <c r="C91" s="49"/>
      <c r="D91" s="118"/>
      <c r="E91" s="610" t="str">
        <f aca="false">FHD_NUM_P_53</f>
        <v/>
      </c>
      <c r="F91" s="629" t="str">
        <f aca="false">FHD_P_53</f>
        <v/>
      </c>
      <c r="G91" s="150" t="s">
        <v>578</v>
      </c>
      <c r="H91" s="663"/>
      <c r="I91" s="650"/>
      <c r="J91" s="423" t="str">
        <f aca="false">FHD_NOTE_P_53</f>
        <v/>
      </c>
      <c r="K91" s="613"/>
      <c r="L91" s="49"/>
      <c r="M91" s="49"/>
      <c r="R91" s="49"/>
      <c r="U91" s="609"/>
      <c r="AA91" s="48"/>
      <c r="AB91" s="48"/>
      <c r="AC91" s="48"/>
      <c r="AD91" s="48"/>
      <c r="AE91" s="48"/>
      <c r="AF91" s="45" t="n">
        <v>0</v>
      </c>
    </row>
    <row r="92" s="45" customFormat="true" ht="18.75" hidden="true" customHeight="true" outlineLevel="0" collapsed="false">
      <c r="A92" s="632"/>
      <c r="C92" s="49"/>
      <c r="D92" s="118"/>
      <c r="E92" s="610" t="str">
        <f aca="false">FHD_NUM_P_54</f>
        <v/>
      </c>
      <c r="F92" s="629" t="str">
        <f aca="false">FHD_P_54</f>
        <v/>
      </c>
      <c r="G92" s="150" t="s">
        <v>578</v>
      </c>
      <c r="H92" s="663"/>
      <c r="I92" s="650"/>
      <c r="J92" s="423" t="str">
        <f aca="false">FHD_NOTE_P_54</f>
        <v/>
      </c>
      <c r="K92" s="613"/>
      <c r="L92" s="49"/>
      <c r="M92" s="49"/>
      <c r="R92" s="49"/>
      <c r="U92" s="609"/>
      <c r="AA92" s="48"/>
      <c r="AB92" s="48"/>
      <c r="AC92" s="48"/>
      <c r="AD92" s="48"/>
      <c r="AE92" s="48"/>
      <c r="AF92" s="45" t="n">
        <v>0</v>
      </c>
    </row>
    <row r="93" s="45" customFormat="true" ht="18.75" hidden="true" customHeight="true" outlineLevel="0" collapsed="false">
      <c r="A93" s="632"/>
      <c r="C93" s="49"/>
      <c r="D93" s="649"/>
      <c r="E93" s="610" t="str">
        <f aca="false">FHD_NUM_P_55</f>
        <v/>
      </c>
      <c r="F93" s="629" t="str">
        <f aca="false">FHD_P_55</f>
        <v/>
      </c>
      <c r="G93" s="575"/>
      <c r="H93" s="663"/>
      <c r="I93" s="650"/>
      <c r="J93" s="423" t="str">
        <f aca="false">FHD_NOTE_P_55</f>
        <v/>
      </c>
      <c r="K93" s="613"/>
      <c r="L93" s="49"/>
      <c r="M93" s="49"/>
      <c r="R93" s="49"/>
      <c r="U93" s="609"/>
      <c r="AA93" s="48"/>
      <c r="AB93" s="48"/>
      <c r="AC93" s="48"/>
      <c r="AD93" s="48"/>
      <c r="AE93" s="48"/>
      <c r="AF93" s="45" t="n">
        <v>0</v>
      </c>
    </row>
    <row r="94" s="45" customFormat="true" ht="18.75" hidden="true" customHeight="true" outlineLevel="0" collapsed="false">
      <c r="A94" s="632"/>
      <c r="C94" s="49"/>
      <c r="D94" s="118"/>
      <c r="E94" s="610" t="str">
        <f aca="false">FHD_NUM_P_56</f>
        <v/>
      </c>
      <c r="F94" s="629" t="str">
        <f aca="false">FHD_P_56</f>
        <v/>
      </c>
      <c r="G94" s="150" t="s">
        <v>580</v>
      </c>
      <c r="H94" s="663"/>
      <c r="I94" s="650"/>
      <c r="J94" s="423" t="str">
        <f aca="false">FHD_NOTE_P_56</f>
        <v/>
      </c>
      <c r="K94" s="613"/>
      <c r="L94" s="49"/>
      <c r="M94" s="49"/>
      <c r="R94" s="49"/>
      <c r="U94" s="609"/>
      <c r="AA94" s="48"/>
      <c r="AB94" s="48"/>
      <c r="AC94" s="48"/>
      <c r="AD94" s="48"/>
      <c r="AE94" s="48"/>
      <c r="AF94" s="45" t="n">
        <v>0</v>
      </c>
    </row>
    <row r="95" s="42" customFormat="true" ht="18.75" hidden="true" customHeight="true" outlineLevel="0" collapsed="false">
      <c r="A95" s="632"/>
      <c r="B95" s="45"/>
      <c r="C95" s="49"/>
      <c r="D95" s="118"/>
      <c r="E95" s="610" t="str">
        <f aca="false">FHD_NUM_P_57</f>
        <v/>
      </c>
      <c r="F95" s="629" t="str">
        <f aca="false">FHD_P_57</f>
        <v/>
      </c>
      <c r="G95" s="150" t="s">
        <v>555</v>
      </c>
      <c r="H95" s="658"/>
      <c r="I95" s="630"/>
      <c r="J95" s="423" t="str">
        <f aca="false">FHD_NOTE_P_57</f>
        <v/>
      </c>
      <c r="K95" s="613"/>
      <c r="L95" s="49"/>
      <c r="M95" s="49"/>
      <c r="N95" s="45"/>
      <c r="O95" s="45"/>
      <c r="P95" s="45"/>
      <c r="Q95" s="45"/>
      <c r="R95" s="49"/>
      <c r="S95" s="45"/>
      <c r="T95" s="45"/>
      <c r="U95" s="609"/>
      <c r="V95" s="45"/>
      <c r="W95" s="45"/>
      <c r="X95" s="45"/>
      <c r="Y95" s="45"/>
      <c r="Z95" s="45"/>
      <c r="AA95" s="48"/>
      <c r="AB95" s="48"/>
      <c r="AC95" s="48"/>
      <c r="AD95" s="48"/>
      <c r="AE95" s="48"/>
      <c r="AF95" s="42" t="n">
        <v>0</v>
      </c>
    </row>
    <row r="96" customFormat="false" ht="18.75" hidden="false" customHeight="true" outlineLevel="0" collapsed="false">
      <c r="A96" s="632" t="s">
        <v>581</v>
      </c>
      <c r="D96" s="118"/>
      <c r="E96" s="610" t="str">
        <f aca="false">FHD_NUM_P_58</f>
        <v>7</v>
      </c>
      <c r="F96" s="629" t="str">
        <f aca="false">FHD_P_58</f>
        <v>Объём сточных вод, принятых от потребителей</v>
      </c>
      <c r="G96" s="150" t="s">
        <v>578</v>
      </c>
      <c r="H96" s="663"/>
      <c r="I96" s="650"/>
      <c r="J96" s="423" t="str">
        <f aca="false">FHD_NOTE_P_58</f>
        <v/>
      </c>
      <c r="K96" s="613"/>
      <c r="AF96" s="42" t="n">
        <v>0</v>
      </c>
    </row>
    <row r="97" customFormat="false" ht="18.75" hidden="false" customHeight="true" outlineLevel="0" collapsed="false">
      <c r="A97" s="632"/>
      <c r="D97" s="118"/>
      <c r="E97" s="610" t="str">
        <f aca="false">FHD_NUM_P_59</f>
        <v>8</v>
      </c>
      <c r="F97" s="629" t="str">
        <f aca="false">FHD_P_59</f>
        <v>Объём сточных вод, принятых от других регулируемых организаций, осуществляющих водоотведение и (или) очистку сточных вод</v>
      </c>
      <c r="G97" s="150" t="s">
        <v>578</v>
      </c>
      <c r="H97" s="663"/>
      <c r="I97" s="650"/>
      <c r="J97" s="423" t="str">
        <f aca="false">FHD_NOTE_P_59</f>
        <v/>
      </c>
      <c r="K97" s="613"/>
      <c r="AF97" s="42" t="n">
        <v>0</v>
      </c>
    </row>
    <row r="98" customFormat="false" ht="18.75" hidden="false" customHeight="true" outlineLevel="0" collapsed="false">
      <c r="A98" s="632"/>
      <c r="D98" s="118"/>
      <c r="E98" s="610" t="str">
        <f aca="false">FHD_NUM_P_60</f>
        <v>9</v>
      </c>
      <c r="F98" s="629" t="str">
        <f aca="false">FHD_P_60</f>
        <v>Объём сточных вод, пропущенных через очистные сооружения</v>
      </c>
      <c r="G98" s="150" t="s">
        <v>578</v>
      </c>
      <c r="H98" s="663"/>
      <c r="I98" s="650"/>
      <c r="J98" s="423" t="str">
        <f aca="false">FHD_NOTE_P_60</f>
        <v/>
      </c>
      <c r="K98" s="613"/>
      <c r="AF98" s="42" t="n">
        <v>0</v>
      </c>
    </row>
    <row r="99" s="45" customFormat="true" ht="18.75" hidden="true" customHeight="true" outlineLevel="0" collapsed="false">
      <c r="A99" s="632" t="s">
        <v>582</v>
      </c>
      <c r="C99" s="49"/>
      <c r="D99" s="118"/>
      <c r="E99" s="610" t="str">
        <f aca="false">FHD_NUM_P_61</f>
        <v/>
      </c>
      <c r="F99" s="629" t="str">
        <f aca="false">FHD_P_61</f>
        <v/>
      </c>
      <c r="G99" s="150" t="s">
        <v>553</v>
      </c>
      <c r="H99" s="666"/>
      <c r="I99" s="667"/>
      <c r="J99" s="423" t="str">
        <f aca="false">FHD_NOTE_P_61</f>
        <v/>
      </c>
      <c r="K99" s="613"/>
      <c r="L99" s="49"/>
      <c r="M99" s="49"/>
      <c r="R99" s="49"/>
      <c r="U99" s="609"/>
      <c r="AA99" s="48"/>
      <c r="AB99" s="48"/>
      <c r="AC99" s="48"/>
      <c r="AD99" s="48"/>
      <c r="AE99" s="48"/>
      <c r="AF99" s="45" t="n">
        <v>0</v>
      </c>
    </row>
    <row r="100" s="49" customFormat="true" ht="0.75" hidden="true" customHeight="true" outlineLevel="0" collapsed="false">
      <c r="A100" s="632"/>
      <c r="D100" s="462"/>
      <c r="E100" s="151" t="str">
        <f aca="false">E99&amp;".0"</f>
        <v>.0</v>
      </c>
      <c r="F100" s="668"/>
      <c r="G100" s="669"/>
      <c r="H100" s="655"/>
      <c r="I100" s="655"/>
      <c r="J100" s="670"/>
      <c r="AF100" s="49" t="n">
        <v>0</v>
      </c>
    </row>
    <row r="101" customFormat="false" ht="15" hidden="true" customHeight="true" outlineLevel="0" collapsed="false">
      <c r="A101" s="632"/>
      <c r="D101" s="121"/>
      <c r="E101" s="671"/>
      <c r="F101" s="672" t="s">
        <v>583</v>
      </c>
      <c r="G101" s="644"/>
      <c r="H101" s="645"/>
      <c r="I101" s="645"/>
      <c r="J101" s="673" t="s">
        <v>584</v>
      </c>
      <c r="K101" s="613"/>
      <c r="AF101" s="42" t="n">
        <v>0</v>
      </c>
    </row>
    <row r="102" s="45" customFormat="true" ht="18.75" hidden="true" customHeight="true" outlineLevel="0" collapsed="false">
      <c r="A102" s="632"/>
      <c r="C102" s="49"/>
      <c r="D102" s="118"/>
      <c r="E102" s="610" t="str">
        <f aca="false">FHD_NUM_P_62</f>
        <v/>
      </c>
      <c r="F102" s="629" t="str">
        <f aca="false">FHD_P_62</f>
        <v/>
      </c>
      <c r="G102" s="506" t="s">
        <v>553</v>
      </c>
      <c r="H102" s="630"/>
      <c r="I102" s="630"/>
      <c r="J102" s="423" t="str">
        <f aca="false">FHD_NOTE_P_62</f>
        <v/>
      </c>
      <c r="K102" s="613"/>
      <c r="L102" s="49"/>
      <c r="M102" s="49"/>
      <c r="R102" s="49"/>
      <c r="U102" s="609"/>
      <c r="AA102" s="48"/>
      <c r="AB102" s="48"/>
      <c r="AC102" s="48"/>
      <c r="AD102" s="48"/>
      <c r="AE102" s="48"/>
      <c r="AF102" s="45" t="n">
        <v>0</v>
      </c>
    </row>
    <row r="103" s="45" customFormat="true" ht="18.75" hidden="true" customHeight="true" outlineLevel="0" collapsed="false">
      <c r="A103" s="632"/>
      <c r="C103" s="49"/>
      <c r="D103" s="118"/>
      <c r="E103" s="610" t="str">
        <f aca="false">FHD_NUM_P_63</f>
        <v/>
      </c>
      <c r="F103" s="629" t="str">
        <f aca="false">FHD_P_63</f>
        <v/>
      </c>
      <c r="G103" s="506" t="s">
        <v>580</v>
      </c>
      <c r="H103" s="650"/>
      <c r="I103" s="650"/>
      <c r="J103" s="423" t="str">
        <f aca="false">FHD_NOTE_P_63</f>
        <v/>
      </c>
      <c r="K103" s="613"/>
      <c r="L103" s="49"/>
      <c r="M103" s="49"/>
      <c r="R103" s="49"/>
      <c r="U103" s="609"/>
      <c r="AA103" s="48"/>
      <c r="AB103" s="48"/>
      <c r="AC103" s="48"/>
      <c r="AD103" s="48"/>
      <c r="AE103" s="48"/>
      <c r="AF103" s="45" t="n">
        <v>0</v>
      </c>
    </row>
    <row r="104" s="45" customFormat="true" ht="18.75" hidden="true" customHeight="true" outlineLevel="0" collapsed="false">
      <c r="A104" s="632"/>
      <c r="C104" s="49" t="s">
        <v>585</v>
      </c>
      <c r="D104" s="118"/>
      <c r="E104" s="610" t="str">
        <f aca="false">FHD_NUM_P_64</f>
        <v/>
      </c>
      <c r="F104" s="629" t="str">
        <f aca="false">FHD_P_64</f>
        <v/>
      </c>
      <c r="G104" s="506" t="s">
        <v>580</v>
      </c>
      <c r="H104" s="620"/>
      <c r="I104" s="620"/>
      <c r="J104" s="423" t="str">
        <f aca="false">FHD_NOTE_P_64</f>
        <v/>
      </c>
      <c r="K104" s="613"/>
      <c r="L104" s="49"/>
      <c r="M104" s="49"/>
      <c r="R104" s="49"/>
      <c r="U104" s="609"/>
      <c r="AA104" s="48"/>
      <c r="AB104" s="48"/>
      <c r="AC104" s="48"/>
      <c r="AD104" s="48"/>
      <c r="AE104" s="48"/>
      <c r="AF104" s="45" t="n">
        <v>0</v>
      </c>
    </row>
    <row r="105" s="45" customFormat="true" ht="18.75" hidden="true" customHeight="true" outlineLevel="0" collapsed="false">
      <c r="A105" s="632"/>
      <c r="C105" s="49"/>
      <c r="D105" s="118"/>
      <c r="E105" s="610" t="str">
        <f aca="false">FHD_NUM_P_65</f>
        <v/>
      </c>
      <c r="F105" s="629" t="str">
        <f aca="false">FHD_P_65</f>
        <v/>
      </c>
      <c r="G105" s="506" t="s">
        <v>580</v>
      </c>
      <c r="H105" s="650"/>
      <c r="I105" s="650"/>
      <c r="J105" s="423" t="str">
        <f aca="false">FHD_NOTE_P_65</f>
        <v/>
      </c>
      <c r="K105" s="613"/>
      <c r="L105" s="49"/>
      <c r="M105" s="49"/>
      <c r="R105" s="49"/>
      <c r="U105" s="609"/>
      <c r="AA105" s="48"/>
      <c r="AB105" s="48"/>
      <c r="AC105" s="48"/>
      <c r="AD105" s="48"/>
      <c r="AE105" s="48"/>
      <c r="AF105" s="45" t="n">
        <v>0</v>
      </c>
    </row>
    <row r="106" s="45" customFormat="true" ht="18.75" hidden="true" customHeight="true" outlineLevel="0" collapsed="false">
      <c r="A106" s="632"/>
      <c r="C106" s="49"/>
      <c r="D106" s="118"/>
      <c r="E106" s="610" t="str">
        <f aca="false">FHD_NUM_P_66</f>
        <v/>
      </c>
      <c r="F106" s="577" t="str">
        <f aca="false">FHD_P_66</f>
        <v/>
      </c>
      <c r="G106" s="506" t="s">
        <v>580</v>
      </c>
      <c r="H106" s="650"/>
      <c r="I106" s="650"/>
      <c r="J106" s="423" t="str">
        <f aca="false">FHD_NOTE_P_66</f>
        <v/>
      </c>
      <c r="K106" s="613"/>
      <c r="L106" s="49"/>
      <c r="M106" s="49"/>
      <c r="R106" s="49"/>
      <c r="U106" s="609"/>
      <c r="AA106" s="48"/>
      <c r="AB106" s="48"/>
      <c r="AC106" s="48"/>
      <c r="AD106" s="48"/>
      <c r="AE106" s="48"/>
      <c r="AF106" s="45" t="n">
        <v>0</v>
      </c>
    </row>
    <row r="107" s="45" customFormat="true" ht="18.75" hidden="true" customHeight="true" outlineLevel="0" collapsed="false">
      <c r="A107" s="632"/>
      <c r="C107" s="49"/>
      <c r="D107" s="118"/>
      <c r="E107" s="610" t="str">
        <f aca="false">FHD_NUM_P_67</f>
        <v/>
      </c>
      <c r="F107" s="646" t="str">
        <f aca="false">FHD_P_67</f>
        <v/>
      </c>
      <c r="G107" s="506" t="s">
        <v>580</v>
      </c>
      <c r="H107" s="650"/>
      <c r="I107" s="650"/>
      <c r="J107" s="423" t="str">
        <f aca="false">FHD_NOTE_P_67</f>
        <v/>
      </c>
      <c r="K107" s="613"/>
      <c r="L107" s="49"/>
      <c r="M107" s="49"/>
      <c r="R107" s="49"/>
      <c r="U107" s="609"/>
      <c r="AA107" s="48"/>
      <c r="AB107" s="48"/>
      <c r="AC107" s="48"/>
      <c r="AD107" s="48"/>
      <c r="AE107" s="48"/>
      <c r="AF107" s="45" t="n">
        <v>0</v>
      </c>
    </row>
    <row r="108" s="45" customFormat="true" ht="18.75" hidden="true" customHeight="true" outlineLevel="0" collapsed="false">
      <c r="A108" s="632"/>
      <c r="C108" s="49"/>
      <c r="D108" s="118"/>
      <c r="E108" s="610" t="str">
        <f aca="false">FHD_NUM_P_68</f>
        <v/>
      </c>
      <c r="F108" s="577" t="str">
        <f aca="false">FHD_P_68</f>
        <v/>
      </c>
      <c r="G108" s="506" t="s">
        <v>580</v>
      </c>
      <c r="H108" s="650"/>
      <c r="I108" s="650"/>
      <c r="J108" s="423" t="str">
        <f aca="false">FHD_NOTE_P_68</f>
        <v/>
      </c>
      <c r="K108" s="613"/>
      <c r="L108" s="49"/>
      <c r="M108" s="49"/>
      <c r="R108" s="49"/>
      <c r="U108" s="609"/>
      <c r="AA108" s="48"/>
      <c r="AB108" s="48"/>
      <c r="AC108" s="48"/>
      <c r="AD108" s="48"/>
      <c r="AE108" s="48"/>
      <c r="AF108" s="45" t="n">
        <v>0</v>
      </c>
    </row>
    <row r="109" s="45" customFormat="true" ht="18.75" hidden="true" customHeight="true" outlineLevel="0" collapsed="false">
      <c r="A109" s="632"/>
      <c r="C109" s="49"/>
      <c r="D109" s="118"/>
      <c r="E109" s="610" t="str">
        <f aca="false">FHD_NUM_P_69</f>
        <v/>
      </c>
      <c r="F109" s="577" t="str">
        <f aca="false">FHD_P_69</f>
        <v/>
      </c>
      <c r="G109" s="506" t="s">
        <v>580</v>
      </c>
      <c r="H109" s="650"/>
      <c r="I109" s="650"/>
      <c r="J109" s="423" t="str">
        <f aca="false">FHD_NOTE_P_69</f>
        <v/>
      </c>
      <c r="K109" s="613"/>
      <c r="L109" s="49"/>
      <c r="M109" s="49"/>
      <c r="R109" s="49"/>
      <c r="U109" s="609"/>
      <c r="AA109" s="48"/>
      <c r="AB109" s="48"/>
      <c r="AC109" s="48"/>
      <c r="AD109" s="48"/>
      <c r="AE109" s="48"/>
      <c r="AF109" s="45" t="n">
        <v>0</v>
      </c>
    </row>
    <row r="110" s="45" customFormat="true" ht="22.5" hidden="true" customHeight="true" outlineLevel="0" collapsed="false">
      <c r="A110" s="632"/>
      <c r="C110" s="49"/>
      <c r="D110" s="118"/>
      <c r="E110" s="610" t="str">
        <f aca="false">FHD_NUM_P_70</f>
        <v/>
      </c>
      <c r="F110" s="629" t="str">
        <f aca="false">FHD_P_70</f>
        <v/>
      </c>
      <c r="G110" s="506" t="s">
        <v>586</v>
      </c>
      <c r="H110" s="630"/>
      <c r="I110" s="630"/>
      <c r="J110" s="423" t="str">
        <f aca="false">FHD_NOTE_P_70</f>
        <v/>
      </c>
      <c r="K110" s="613"/>
      <c r="L110" s="49"/>
      <c r="M110" s="49"/>
      <c r="R110" s="49"/>
      <c r="U110" s="609"/>
      <c r="AA110" s="48"/>
      <c r="AB110" s="48"/>
      <c r="AC110" s="48"/>
      <c r="AD110" s="48"/>
      <c r="AE110" s="48"/>
      <c r="AF110" s="45" t="n">
        <v>0</v>
      </c>
    </row>
    <row r="111" s="45" customFormat="true" ht="22.5" hidden="true" customHeight="true" outlineLevel="0" collapsed="false">
      <c r="A111" s="632"/>
      <c r="C111" s="49"/>
      <c r="D111" s="118"/>
      <c r="E111" s="610" t="str">
        <f aca="false">FHD_NUM_P_71</f>
        <v/>
      </c>
      <c r="F111" s="629" t="str">
        <f aca="false">FHD_P_71</f>
        <v/>
      </c>
      <c r="G111" s="506" t="s">
        <v>586</v>
      </c>
      <c r="H111" s="630"/>
      <c r="I111" s="630"/>
      <c r="J111" s="423" t="str">
        <f aca="false">FHD_NOTE_P_71</f>
        <v/>
      </c>
      <c r="K111" s="613"/>
      <c r="L111" s="49"/>
      <c r="M111" s="49"/>
      <c r="R111" s="49"/>
      <c r="U111" s="609"/>
      <c r="AA111" s="48"/>
      <c r="AB111" s="48"/>
      <c r="AC111" s="48"/>
      <c r="AD111" s="48"/>
      <c r="AE111" s="48"/>
      <c r="AF111" s="45" t="n">
        <v>0</v>
      </c>
    </row>
    <row r="112" customFormat="false" ht="19.5" hidden="false" customHeight="true" outlineLevel="0" collapsed="false">
      <c r="D112" s="118"/>
      <c r="E112" s="610" t="str">
        <f aca="false">FHD_NUM_P_72</f>
        <v>10</v>
      </c>
      <c r="F112" s="629" t="str">
        <f aca="false">FHD_P_72</f>
        <v>Среднесписочная численность основного производственного персонала</v>
      </c>
      <c r="G112" s="506" t="s">
        <v>587</v>
      </c>
      <c r="H112" s="650"/>
      <c r="I112" s="650"/>
      <c r="J112" s="423" t="str">
        <f aca="false">FHD_NOTE_P_72</f>
        <v/>
      </c>
      <c r="K112" s="613"/>
      <c r="AF112" s="42" t="n">
        <v>19</v>
      </c>
    </row>
    <row r="113" customFormat="false" ht="18.75" hidden="true" customHeight="true" outlineLevel="0" collapsed="false">
      <c r="A113" s="648" t="s">
        <v>588</v>
      </c>
      <c r="D113" s="118"/>
      <c r="E113" s="610" t="str">
        <f aca="false">FHD_NUM_P_73</f>
        <v/>
      </c>
      <c r="F113" s="629" t="str">
        <f aca="false">FHD_P_73</f>
        <v/>
      </c>
      <c r="G113" s="674" t="s">
        <v>587</v>
      </c>
      <c r="H113" s="675"/>
      <c r="I113" s="675"/>
      <c r="J113" s="423" t="str">
        <f aca="false">FHD_NOTE_P_73</f>
        <v/>
      </c>
      <c r="K113" s="613"/>
      <c r="AF113" s="42" t="n">
        <v>0</v>
      </c>
    </row>
    <row r="114" customFormat="false" ht="33.75" hidden="true" customHeight="true" outlineLevel="0" collapsed="false">
      <c r="A114" s="648" t="s">
        <v>589</v>
      </c>
      <c r="D114" s="118"/>
      <c r="E114" s="610" t="str">
        <f aca="false">FHD_NUM_P_74</f>
        <v/>
      </c>
      <c r="F114" s="629" t="str">
        <f aca="false">FHD_P_74</f>
        <v/>
      </c>
      <c r="G114" s="506" t="s">
        <v>590</v>
      </c>
      <c r="H114" s="650"/>
      <c r="I114" s="650"/>
      <c r="J114" s="423" t="str">
        <f aca="false">FHD_NOTE_P_74</f>
        <v/>
      </c>
      <c r="K114" s="613"/>
      <c r="AF114" s="42" t="n">
        <v>0</v>
      </c>
    </row>
    <row r="115" s="42" customFormat="true" ht="18.75" hidden="true" customHeight="true" outlineLevel="0" collapsed="false">
      <c r="A115" s="632" t="s">
        <v>591</v>
      </c>
      <c r="B115" s="45"/>
      <c r="C115" s="49"/>
      <c r="D115" s="118"/>
      <c r="E115" s="610" t="str">
        <f aca="false">FHD_NUM_P_75</f>
        <v/>
      </c>
      <c r="F115" s="629" t="str">
        <f aca="false">FHD_P_75</f>
        <v/>
      </c>
      <c r="G115" s="506" t="s">
        <v>555</v>
      </c>
      <c r="H115" s="630"/>
      <c r="I115" s="630"/>
      <c r="J115" s="423" t="str">
        <f aca="false">FHD_NOTE_P_75</f>
        <v/>
      </c>
      <c r="K115" s="613"/>
      <c r="L115" s="49"/>
      <c r="M115" s="49"/>
      <c r="N115" s="45"/>
      <c r="O115" s="45"/>
      <c r="P115" s="45"/>
      <c r="Q115" s="45"/>
      <c r="R115" s="49"/>
      <c r="S115" s="45"/>
      <c r="T115" s="45"/>
      <c r="U115" s="609"/>
      <c r="V115" s="45"/>
      <c r="W115" s="45"/>
      <c r="X115" s="45"/>
      <c r="Y115" s="45"/>
      <c r="Z115" s="45"/>
      <c r="AA115" s="48"/>
      <c r="AB115" s="48"/>
      <c r="AC115" s="48"/>
      <c r="AD115" s="48"/>
      <c r="AE115" s="48"/>
      <c r="AF115" s="42" t="n">
        <v>0</v>
      </c>
    </row>
    <row r="116" s="42" customFormat="true" ht="18.75" hidden="true" customHeight="true" outlineLevel="0" collapsed="false">
      <c r="A116" s="632"/>
      <c r="B116" s="45"/>
      <c r="C116" s="49"/>
      <c r="D116" s="118"/>
      <c r="E116" s="610" t="str">
        <f aca="false">FHD_NUM_P_76</f>
        <v/>
      </c>
      <c r="F116" s="629" t="str">
        <f aca="false">FHD_P_76</f>
        <v/>
      </c>
      <c r="G116" s="506" t="s">
        <v>555</v>
      </c>
      <c r="H116" s="630"/>
      <c r="I116" s="630"/>
      <c r="J116" s="423" t="str">
        <f aca="false">FHD_NOTE_P_76</f>
        <v/>
      </c>
      <c r="K116" s="613"/>
      <c r="L116" s="49"/>
      <c r="M116" s="49"/>
      <c r="N116" s="45"/>
      <c r="O116" s="45"/>
      <c r="P116" s="45"/>
      <c r="Q116" s="45"/>
      <c r="R116" s="49"/>
      <c r="S116" s="45"/>
      <c r="T116" s="45"/>
      <c r="U116" s="609"/>
      <c r="V116" s="45"/>
      <c r="W116" s="45"/>
      <c r="X116" s="45"/>
      <c r="Y116" s="45"/>
      <c r="Z116" s="45"/>
      <c r="AA116" s="48"/>
      <c r="AB116" s="48"/>
      <c r="AC116" s="48"/>
      <c r="AD116" s="48"/>
      <c r="AE116" s="48"/>
      <c r="AF116" s="42" t="n">
        <v>0</v>
      </c>
    </row>
    <row r="117" s="42" customFormat="true" ht="18.75" hidden="true" customHeight="true" outlineLevel="0" collapsed="false">
      <c r="A117" s="632"/>
      <c r="B117" s="45"/>
      <c r="C117" s="49"/>
      <c r="D117" s="118"/>
      <c r="E117" s="610" t="str">
        <f aca="false">FHD_NUM_P_77</f>
        <v/>
      </c>
      <c r="F117" s="629" t="str">
        <f aca="false">FHD_P_77</f>
        <v/>
      </c>
      <c r="G117" s="506" t="s">
        <v>555</v>
      </c>
      <c r="H117" s="630"/>
      <c r="I117" s="630"/>
      <c r="J117" s="423" t="str">
        <f aca="false">FHD_NOTE_P_77</f>
        <v/>
      </c>
      <c r="K117" s="613"/>
      <c r="L117" s="49"/>
      <c r="M117" s="49"/>
      <c r="N117" s="45"/>
      <c r="O117" s="45"/>
      <c r="P117" s="45"/>
      <c r="Q117" s="45"/>
      <c r="R117" s="49"/>
      <c r="S117" s="45"/>
      <c r="T117" s="45"/>
      <c r="U117" s="609"/>
      <c r="V117" s="45"/>
      <c r="W117" s="45"/>
      <c r="X117" s="45"/>
      <c r="Y117" s="45"/>
      <c r="Z117" s="45"/>
      <c r="AA117" s="48"/>
      <c r="AB117" s="48"/>
      <c r="AC117" s="48"/>
      <c r="AD117" s="48"/>
      <c r="AE117" s="48"/>
      <c r="AF117" s="42" t="n">
        <v>0</v>
      </c>
    </row>
    <row r="118" s="49" customFormat="true" ht="0.75" hidden="true" customHeight="true" outlineLevel="0" collapsed="false">
      <c r="A118" s="632"/>
      <c r="D118" s="462"/>
      <c r="E118" s="151" t="str">
        <f aca="false">E117&amp;".0"</f>
        <v>.0</v>
      </c>
      <c r="F118" s="676"/>
      <c r="G118" s="677"/>
      <c r="H118" s="655"/>
      <c r="I118" s="655"/>
      <c r="J118" s="670"/>
      <c r="AF118" s="49" t="n">
        <v>0</v>
      </c>
    </row>
    <row r="119" s="42" customFormat="true" ht="15" hidden="true" customHeight="true" outlineLevel="0" collapsed="false">
      <c r="A119" s="632"/>
      <c r="B119" s="45"/>
      <c r="C119" s="49"/>
      <c r="D119" s="121"/>
      <c r="E119" s="671"/>
      <c r="F119" s="672" t="s">
        <v>592</v>
      </c>
      <c r="G119" s="644"/>
      <c r="H119" s="645"/>
      <c r="I119" s="645"/>
      <c r="J119" s="673" t="s">
        <v>593</v>
      </c>
      <c r="K119" s="613"/>
      <c r="L119" s="49"/>
      <c r="M119" s="49"/>
      <c r="N119" s="45"/>
      <c r="O119" s="45"/>
      <c r="P119" s="45"/>
      <c r="Q119" s="45"/>
      <c r="R119" s="49"/>
      <c r="S119" s="45"/>
      <c r="T119" s="45"/>
      <c r="U119" s="609"/>
      <c r="V119" s="45"/>
      <c r="W119" s="45"/>
      <c r="X119" s="45"/>
      <c r="Y119" s="45"/>
      <c r="Z119" s="45"/>
      <c r="AA119" s="48"/>
      <c r="AB119" s="48"/>
      <c r="AC119" s="48"/>
      <c r="AD119" s="48"/>
      <c r="AE119" s="48"/>
      <c r="AF119" s="42" t="n">
        <v>0</v>
      </c>
    </row>
    <row r="120" customFormat="false" ht="22.5" hidden="true" customHeight="true" outlineLevel="0" collapsed="false">
      <c r="A120" s="632" t="s">
        <v>594</v>
      </c>
      <c r="D120" s="118"/>
      <c r="E120" s="610" t="str">
        <f aca="false">FHD_NUM_P_78</f>
        <v/>
      </c>
      <c r="F120" s="629" t="str">
        <f aca="false">FHD_P_78</f>
        <v/>
      </c>
      <c r="G120" s="506" t="s">
        <v>557</v>
      </c>
      <c r="H120" s="650"/>
      <c r="I120" s="650"/>
      <c r="J120" s="423" t="str">
        <f aca="false">FHD_NOTE_P_78</f>
        <v/>
      </c>
      <c r="K120" s="613"/>
      <c r="AF120" s="42" t="n">
        <v>0</v>
      </c>
    </row>
    <row r="121" s="49" customFormat="true" ht="0.75" hidden="true" customHeight="true" outlineLevel="0" collapsed="false">
      <c r="A121" s="632"/>
      <c r="D121" s="462"/>
      <c r="E121" s="151" t="str">
        <f aca="false">E120&amp;".0"</f>
        <v>.0</v>
      </c>
      <c r="F121" s="676"/>
      <c r="G121" s="677"/>
      <c r="H121" s="655"/>
      <c r="I121" s="655"/>
      <c r="J121" s="670"/>
      <c r="AF121" s="49" t="n">
        <v>0</v>
      </c>
    </row>
    <row r="122" customFormat="false" ht="15" hidden="true" customHeight="true" outlineLevel="0" collapsed="false">
      <c r="A122" s="632"/>
      <c r="D122" s="121"/>
      <c r="E122" s="643"/>
      <c r="F122" s="165" t="s">
        <v>583</v>
      </c>
      <c r="G122" s="644"/>
      <c r="H122" s="645"/>
      <c r="I122" s="645"/>
      <c r="J122" s="673" t="s">
        <v>595</v>
      </c>
      <c r="K122" s="613"/>
      <c r="AF122" s="42" t="n">
        <v>0</v>
      </c>
    </row>
    <row r="123" customFormat="false" ht="22.5" hidden="true" customHeight="true" outlineLevel="0" collapsed="false">
      <c r="A123" s="632"/>
      <c r="D123" s="118"/>
      <c r="E123" s="610" t="str">
        <f aca="false">FHD_NUM_P_79</f>
        <v/>
      </c>
      <c r="F123" s="629" t="str">
        <f aca="false">FHD_P_79</f>
        <v/>
      </c>
      <c r="G123" s="150" t="s">
        <v>559</v>
      </c>
      <c r="H123" s="650"/>
      <c r="I123" s="650"/>
      <c r="J123" s="423" t="str">
        <f aca="false">FHD_NOTE_P_79</f>
        <v/>
      </c>
      <c r="K123" s="613"/>
      <c r="AF123" s="42" t="n">
        <v>0</v>
      </c>
    </row>
    <row r="124" s="49" customFormat="true" ht="0.75" hidden="true" customHeight="true" outlineLevel="0" collapsed="false">
      <c r="A124" s="632"/>
      <c r="D124" s="462"/>
      <c r="E124" s="151" t="str">
        <f aca="false">E123&amp;".0"</f>
        <v>.0</v>
      </c>
      <c r="F124" s="678"/>
      <c r="G124" s="677"/>
      <c r="H124" s="655"/>
      <c r="I124" s="655"/>
      <c r="J124" s="670"/>
      <c r="AF124" s="49" t="n">
        <v>0</v>
      </c>
    </row>
    <row r="125" customFormat="false" ht="15" hidden="true" customHeight="true" outlineLevel="0" collapsed="false">
      <c r="A125" s="632"/>
      <c r="D125" s="121"/>
      <c r="E125" s="643"/>
      <c r="F125" s="165" t="s">
        <v>583</v>
      </c>
      <c r="G125" s="644"/>
      <c r="H125" s="645"/>
      <c r="I125" s="645"/>
      <c r="J125" s="673" t="s">
        <v>596</v>
      </c>
      <c r="K125" s="613"/>
      <c r="AF125" s="42" t="n">
        <v>0</v>
      </c>
    </row>
    <row r="126" customFormat="false" ht="22.5" hidden="true" customHeight="true" outlineLevel="0" collapsed="false">
      <c r="A126" s="632"/>
      <c r="D126" s="118"/>
      <c r="E126" s="610" t="str">
        <f aca="false">FHD_NUM_P_80</f>
        <v/>
      </c>
      <c r="F126" s="629" t="str">
        <f aca="false">FHD_P_80</f>
        <v/>
      </c>
      <c r="G126" s="150" t="s">
        <v>597</v>
      </c>
      <c r="H126" s="630"/>
      <c r="I126" s="630"/>
      <c r="J126" s="423" t="str">
        <f aca="false">FHD_NOTE_P_80</f>
        <v/>
      </c>
      <c r="K126" s="613"/>
      <c r="AF126" s="42" t="n">
        <v>0</v>
      </c>
    </row>
    <row r="127" customFormat="false" ht="18.75" hidden="true" customHeight="true" outlineLevel="0" collapsed="false">
      <c r="A127" s="632"/>
      <c r="D127" s="118"/>
      <c r="E127" s="610" t="str">
        <f aca="false">FHD_NUM_P_81</f>
        <v/>
      </c>
      <c r="F127" s="629" t="str">
        <f aca="false">FHD_P_81</f>
        <v/>
      </c>
      <c r="G127" s="150" t="s">
        <v>598</v>
      </c>
      <c r="H127" s="630"/>
      <c r="I127" s="630"/>
      <c r="J127" s="423" t="str">
        <f aca="false">FHD_NOTE_P_81</f>
        <v/>
      </c>
      <c r="K127" s="613"/>
      <c r="AF127" s="42" t="n">
        <v>0</v>
      </c>
    </row>
    <row r="128" customFormat="false" ht="18.75" hidden="true" customHeight="true" outlineLevel="0" collapsed="false">
      <c r="A128" s="632"/>
      <c r="C128" s="49" t="s">
        <v>585</v>
      </c>
      <c r="D128" s="118"/>
      <c r="E128" s="610" t="str">
        <f aca="false">FHD_NUM_P_82</f>
        <v/>
      </c>
      <c r="F128" s="629" t="str">
        <f aca="false">FHD_P_82</f>
        <v/>
      </c>
      <c r="G128" s="150" t="s">
        <v>303</v>
      </c>
      <c r="H128" s="662"/>
      <c r="I128" s="662"/>
      <c r="J128" s="423" t="str">
        <f aca="false">FHD_NOTE_P_82</f>
        <v/>
      </c>
      <c r="K128" s="613"/>
      <c r="AF128" s="42" t="n">
        <v>0</v>
      </c>
    </row>
    <row r="129" customFormat="false" ht="18.75" hidden="true" customHeight="true" outlineLevel="0" collapsed="false">
      <c r="A129" s="632"/>
      <c r="C129" s="49" t="s">
        <v>585</v>
      </c>
      <c r="D129" s="118"/>
      <c r="E129" s="610" t="str">
        <f aca="false">FHD_NUM_P_83</f>
        <v/>
      </c>
      <c r="F129" s="577" t="str">
        <f aca="false">FHD_P_83</f>
        <v/>
      </c>
      <c r="G129" s="150" t="s">
        <v>303</v>
      </c>
      <c r="H129" s="662"/>
      <c r="I129" s="662"/>
      <c r="J129" s="423" t="str">
        <f aca="false">FHD_NOTE_P_83</f>
        <v/>
      </c>
      <c r="K129" s="613"/>
      <c r="AF129" s="42" t="n">
        <v>0</v>
      </c>
    </row>
    <row r="130" customFormat="false" ht="18.75" hidden="true" customHeight="true" outlineLevel="0" collapsed="false">
      <c r="A130" s="632"/>
      <c r="C130" s="49" t="s">
        <v>585</v>
      </c>
      <c r="D130" s="118"/>
      <c r="E130" s="610" t="str">
        <f aca="false">FHD_NUM_P_84</f>
        <v/>
      </c>
      <c r="F130" s="577" t="str">
        <f aca="false">FHD_P_84</f>
        <v/>
      </c>
      <c r="G130" s="150" t="s">
        <v>303</v>
      </c>
      <c r="H130" s="662"/>
      <c r="I130" s="662"/>
      <c r="J130" s="423" t="str">
        <f aca="false">FHD_NOTE_P_84</f>
        <v/>
      </c>
      <c r="K130" s="613"/>
      <c r="AF130" s="42" t="n">
        <v>0</v>
      </c>
    </row>
    <row r="131" customFormat="false" ht="11.25" hidden="false" customHeight="true" outlineLevel="0" collapsed="false">
      <c r="D131" s="118"/>
      <c r="AF131" s="42" t="n">
        <v>11</v>
      </c>
    </row>
    <row r="132" customFormat="false" ht="13.5" hidden="false" customHeight="true" outlineLevel="0" collapsed="false">
      <c r="D132" s="118"/>
      <c r="E132" s="414"/>
      <c r="F132" s="340"/>
      <c r="G132" s="340"/>
      <c r="H132" s="340"/>
      <c r="I132" s="495"/>
      <c r="J132" s="77"/>
      <c r="AF132" s="42" t="n">
        <v>13</v>
      </c>
    </row>
    <row r="133" s="124" customFormat="true" ht="11.25" hidden="false" customHeight="true" outlineLevel="0" collapsed="false">
      <c r="A133" s="608"/>
      <c r="B133" s="49"/>
      <c r="C133" s="49"/>
      <c r="F133" s="145"/>
      <c r="G133" s="42"/>
      <c r="H133" s="42"/>
      <c r="I133" s="42"/>
      <c r="K133" s="45"/>
      <c r="L133" s="49"/>
      <c r="M133" s="49"/>
      <c r="N133" s="45"/>
      <c r="O133" s="45"/>
      <c r="P133" s="45"/>
      <c r="Q133" s="45"/>
      <c r="R133" s="49"/>
      <c r="S133" s="45"/>
      <c r="T133" s="45"/>
      <c r="U133" s="609"/>
      <c r="V133" s="45"/>
      <c r="W133" s="45"/>
      <c r="X133" s="45"/>
      <c r="Y133" s="45"/>
      <c r="Z133" s="45"/>
      <c r="AA133" s="48"/>
      <c r="AB133" s="47"/>
      <c r="AC133" s="47"/>
      <c r="AD133" s="47"/>
      <c r="AE133" s="47"/>
      <c r="AF133" s="124" t="n">
        <v>11</v>
      </c>
    </row>
    <row r="134" s="124" customFormat="true" ht="11.25" hidden="false" customHeight="true" outlineLevel="0" collapsed="false">
      <c r="A134" s="608"/>
      <c r="B134" s="49"/>
      <c r="C134" s="49"/>
      <c r="K134" s="45"/>
      <c r="L134" s="49"/>
      <c r="M134" s="49"/>
      <c r="N134" s="45"/>
      <c r="O134" s="45"/>
      <c r="P134" s="45"/>
      <c r="Q134" s="45"/>
      <c r="R134" s="49"/>
      <c r="S134" s="45"/>
      <c r="T134" s="45"/>
      <c r="U134" s="609"/>
      <c r="V134" s="45"/>
      <c r="W134" s="45"/>
      <c r="X134" s="45"/>
      <c r="Y134" s="45"/>
      <c r="Z134" s="45"/>
      <c r="AA134" s="48"/>
      <c r="AB134" s="47"/>
      <c r="AC134" s="47"/>
      <c r="AD134" s="47"/>
      <c r="AE134" s="47"/>
      <c r="AF134" s="124" t="n">
        <v>11</v>
      </c>
    </row>
    <row r="135" s="124" customFormat="true" ht="11.25" hidden="false" customHeight="true" outlineLevel="0" collapsed="false">
      <c r="A135" s="608"/>
      <c r="B135" s="49"/>
      <c r="C135" s="49"/>
      <c r="K135" s="45"/>
      <c r="L135" s="49"/>
      <c r="M135" s="49"/>
      <c r="N135" s="45"/>
      <c r="O135" s="45"/>
      <c r="P135" s="45"/>
      <c r="Q135" s="45"/>
      <c r="R135" s="49"/>
      <c r="S135" s="45"/>
      <c r="T135" s="45"/>
      <c r="U135" s="609"/>
      <c r="V135" s="45"/>
      <c r="W135" s="45"/>
      <c r="X135" s="45"/>
      <c r="Y135" s="45"/>
      <c r="Z135" s="45"/>
      <c r="AA135" s="48"/>
      <c r="AB135" s="47"/>
      <c r="AC135" s="47"/>
      <c r="AD135" s="47"/>
      <c r="AE135" s="47"/>
      <c r="AF135" s="124" t="n">
        <v>11</v>
      </c>
    </row>
    <row r="136" s="124" customFormat="true" ht="11.25" hidden="false" customHeight="true" outlineLevel="0" collapsed="false">
      <c r="A136" s="608"/>
      <c r="B136" s="49"/>
      <c r="C136" s="49"/>
      <c r="H136" s="47" t="str">
        <f aca="false">IF(H30-H31&lt;&gt;H72,"WARNING","")</f>
        <v/>
      </c>
      <c r="I136" s="47" t="str">
        <f aca="false">IF(I30-I31&lt;&gt;I72,"WARNING","")</f>
        <v/>
      </c>
      <c r="K136" s="45"/>
      <c r="L136" s="49"/>
      <c r="M136" s="49"/>
      <c r="N136" s="45"/>
      <c r="O136" s="45"/>
      <c r="P136" s="45"/>
      <c r="Q136" s="45"/>
      <c r="R136" s="49"/>
      <c r="S136" s="45"/>
      <c r="T136" s="45"/>
      <c r="U136" s="609"/>
      <c r="V136" s="45"/>
      <c r="W136" s="45"/>
      <c r="X136" s="45"/>
      <c r="Y136" s="45"/>
      <c r="Z136" s="45"/>
      <c r="AA136" s="48"/>
      <c r="AB136" s="47"/>
      <c r="AC136" s="47"/>
      <c r="AD136" s="47"/>
      <c r="AE136" s="47"/>
      <c r="AF136" s="124" t="n">
        <v>11</v>
      </c>
    </row>
    <row r="137" s="124" customFormat="true" ht="11.25" hidden="false" customHeight="true" outlineLevel="0" collapsed="false">
      <c r="A137" s="608"/>
      <c r="B137" s="49"/>
      <c r="C137" s="49"/>
      <c r="K137" s="45"/>
      <c r="L137" s="49"/>
      <c r="M137" s="49"/>
      <c r="N137" s="45"/>
      <c r="O137" s="45"/>
      <c r="P137" s="45"/>
      <c r="Q137" s="45"/>
      <c r="R137" s="49"/>
      <c r="S137" s="45"/>
      <c r="T137" s="45"/>
      <c r="U137" s="609"/>
      <c r="V137" s="45"/>
      <c r="W137" s="45"/>
      <c r="X137" s="45"/>
      <c r="Y137" s="45"/>
      <c r="Z137" s="45"/>
      <c r="AA137" s="48"/>
      <c r="AB137" s="47"/>
      <c r="AC137" s="47"/>
      <c r="AD137" s="47"/>
      <c r="AE137" s="47"/>
      <c r="AF137" s="124" t="n">
        <v>11</v>
      </c>
    </row>
    <row r="138" s="124" customFormat="true" ht="11.25" hidden="false" customHeight="true" outlineLevel="0" collapsed="false">
      <c r="A138" s="608"/>
      <c r="B138" s="49"/>
      <c r="C138" s="49"/>
      <c r="K138" s="45"/>
      <c r="L138" s="49"/>
      <c r="M138" s="49"/>
      <c r="N138" s="45"/>
      <c r="O138" s="45"/>
      <c r="P138" s="45"/>
      <c r="Q138" s="45"/>
      <c r="R138" s="49"/>
      <c r="S138" s="45"/>
      <c r="T138" s="45"/>
      <c r="U138" s="609"/>
      <c r="V138" s="45"/>
      <c r="W138" s="45"/>
      <c r="X138" s="45"/>
      <c r="Y138" s="45"/>
      <c r="Z138" s="45"/>
      <c r="AA138" s="48"/>
      <c r="AB138" s="47"/>
      <c r="AC138" s="47"/>
      <c r="AD138" s="47"/>
      <c r="AE138" s="47"/>
      <c r="AF138" s="124" t="n">
        <v>11</v>
      </c>
    </row>
    <row r="139" s="124" customFormat="true" ht="11.25" hidden="false" customHeight="true" outlineLevel="0" collapsed="false">
      <c r="A139" s="608"/>
      <c r="B139" s="49"/>
      <c r="C139" s="49"/>
      <c r="K139" s="45"/>
      <c r="L139" s="49"/>
      <c r="M139" s="49"/>
      <c r="N139" s="45"/>
      <c r="O139" s="45"/>
      <c r="P139" s="45"/>
      <c r="Q139" s="45"/>
      <c r="R139" s="49"/>
      <c r="S139" s="45"/>
      <c r="T139" s="45"/>
      <c r="U139" s="609"/>
      <c r="V139" s="45"/>
      <c r="W139" s="45"/>
      <c r="X139" s="45"/>
      <c r="Y139" s="45"/>
      <c r="Z139" s="45"/>
      <c r="AA139" s="48"/>
      <c r="AB139" s="47"/>
      <c r="AC139" s="47"/>
      <c r="AD139" s="47"/>
      <c r="AE139" s="47"/>
      <c r="AF139" s="124" t="n">
        <v>11</v>
      </c>
    </row>
    <row r="140" s="124" customFormat="true" ht="11.25" hidden="false" customHeight="true" outlineLevel="0" collapsed="false">
      <c r="A140" s="608"/>
      <c r="B140" s="49"/>
      <c r="C140" s="49"/>
      <c r="K140" s="45"/>
      <c r="L140" s="49"/>
      <c r="M140" s="49"/>
      <c r="N140" s="45"/>
      <c r="O140" s="45"/>
      <c r="P140" s="45"/>
      <c r="Q140" s="45"/>
      <c r="R140" s="49"/>
      <c r="S140" s="45"/>
      <c r="T140" s="45"/>
      <c r="U140" s="609"/>
      <c r="V140" s="45"/>
      <c r="W140" s="45"/>
      <c r="X140" s="45"/>
      <c r="Y140" s="45"/>
      <c r="Z140" s="45"/>
      <c r="AA140" s="48"/>
      <c r="AB140" s="47"/>
      <c r="AC140" s="47"/>
      <c r="AD140" s="47"/>
      <c r="AE140" s="47"/>
      <c r="AF140" s="124" t="n">
        <v>11</v>
      </c>
    </row>
    <row r="141" s="124" customFormat="true" ht="11.25" hidden="false" customHeight="true" outlineLevel="0" collapsed="false">
      <c r="A141" s="608"/>
      <c r="B141" s="49"/>
      <c r="C141" s="49"/>
      <c r="K141" s="45"/>
      <c r="L141" s="49"/>
      <c r="M141" s="49"/>
      <c r="N141" s="45"/>
      <c r="O141" s="45"/>
      <c r="P141" s="45"/>
      <c r="Q141" s="45"/>
      <c r="R141" s="49"/>
      <c r="S141" s="45"/>
      <c r="T141" s="45"/>
      <c r="U141" s="609"/>
      <c r="V141" s="45"/>
      <c r="W141" s="45"/>
      <c r="X141" s="45"/>
      <c r="Y141" s="45"/>
      <c r="Z141" s="45"/>
      <c r="AA141" s="48"/>
      <c r="AB141" s="47"/>
      <c r="AC141" s="47"/>
      <c r="AD141" s="47"/>
      <c r="AE141" s="47"/>
      <c r="AF141" s="124" t="n">
        <v>11</v>
      </c>
    </row>
    <row r="142" s="124" customFormat="true" ht="11.25" hidden="false" customHeight="true" outlineLevel="0" collapsed="false">
      <c r="A142" s="608"/>
      <c r="B142" s="49"/>
      <c r="C142" s="49"/>
      <c r="K142" s="45"/>
      <c r="L142" s="49"/>
      <c r="M142" s="49"/>
      <c r="N142" s="45"/>
      <c r="O142" s="45"/>
      <c r="P142" s="45"/>
      <c r="Q142" s="45"/>
      <c r="R142" s="49"/>
      <c r="S142" s="45"/>
      <c r="T142" s="45"/>
      <c r="U142" s="609"/>
      <c r="V142" s="45"/>
      <c r="W142" s="45"/>
      <c r="X142" s="45"/>
      <c r="Y142" s="45"/>
      <c r="Z142" s="45"/>
      <c r="AA142" s="48"/>
      <c r="AB142" s="47"/>
      <c r="AC142" s="47"/>
      <c r="AD142" s="47"/>
      <c r="AE142" s="47"/>
      <c r="AF142" s="124" t="n">
        <v>11</v>
      </c>
    </row>
    <row r="143" s="124" customFormat="true" ht="11.25" hidden="false" customHeight="true" outlineLevel="0" collapsed="false">
      <c r="A143" s="608"/>
      <c r="B143" s="49"/>
      <c r="C143" s="49"/>
      <c r="K143" s="45"/>
      <c r="L143" s="49"/>
      <c r="M143" s="49"/>
      <c r="N143" s="45"/>
      <c r="O143" s="45"/>
      <c r="P143" s="45"/>
      <c r="Q143" s="45"/>
      <c r="R143" s="49"/>
      <c r="S143" s="45"/>
      <c r="T143" s="45"/>
      <c r="U143" s="609"/>
      <c r="V143" s="45"/>
      <c r="W143" s="45"/>
      <c r="X143" s="45"/>
      <c r="Y143" s="45"/>
      <c r="Z143" s="45"/>
      <c r="AA143" s="48"/>
      <c r="AB143" s="47"/>
      <c r="AC143" s="47"/>
      <c r="AD143" s="47"/>
      <c r="AE143" s="47"/>
      <c r="AF143" s="124" t="n">
        <v>11</v>
      </c>
    </row>
    <row r="144" s="124" customFormat="true" ht="11.25" hidden="false" customHeight="true" outlineLevel="0" collapsed="false">
      <c r="A144" s="608"/>
      <c r="B144" s="49"/>
      <c r="C144" s="49"/>
      <c r="K144" s="45"/>
      <c r="L144" s="49"/>
      <c r="M144" s="49"/>
      <c r="N144" s="45"/>
      <c r="O144" s="45"/>
      <c r="P144" s="45"/>
      <c r="Q144" s="45"/>
      <c r="R144" s="49"/>
      <c r="S144" s="45"/>
      <c r="T144" s="45"/>
      <c r="U144" s="609"/>
      <c r="V144" s="45"/>
      <c r="W144" s="45"/>
      <c r="X144" s="45"/>
      <c r="Y144" s="45"/>
      <c r="Z144" s="45"/>
      <c r="AA144" s="48"/>
      <c r="AB144" s="47"/>
      <c r="AC144" s="47"/>
      <c r="AD144" s="47"/>
      <c r="AE144" s="47"/>
      <c r="AF144" s="124" t="n">
        <v>11</v>
      </c>
    </row>
    <row r="145" s="124" customFormat="true" ht="11.25" hidden="false" customHeight="true" outlineLevel="0" collapsed="false">
      <c r="A145" s="608"/>
      <c r="B145" s="49"/>
      <c r="C145" s="49"/>
      <c r="K145" s="45"/>
      <c r="L145" s="49"/>
      <c r="M145" s="49"/>
      <c r="N145" s="45"/>
      <c r="O145" s="45"/>
      <c r="P145" s="45"/>
      <c r="Q145" s="45"/>
      <c r="R145" s="49"/>
      <c r="S145" s="45"/>
      <c r="T145" s="45"/>
      <c r="U145" s="609"/>
      <c r="V145" s="45"/>
      <c r="W145" s="45"/>
      <c r="X145" s="45"/>
      <c r="Y145" s="45"/>
      <c r="Z145" s="45"/>
      <c r="AA145" s="48"/>
      <c r="AB145" s="47"/>
      <c r="AC145" s="47"/>
      <c r="AD145" s="47"/>
      <c r="AE145" s="47"/>
      <c r="AF145" s="124" t="n">
        <v>11</v>
      </c>
    </row>
    <row r="146" s="124" customFormat="true" ht="11.25" hidden="false" customHeight="true" outlineLevel="0" collapsed="false">
      <c r="A146" s="608"/>
      <c r="B146" s="49"/>
      <c r="C146" s="49"/>
      <c r="K146" s="45"/>
      <c r="L146" s="49"/>
      <c r="M146" s="49"/>
      <c r="N146" s="45"/>
      <c r="O146" s="45"/>
      <c r="P146" s="45"/>
      <c r="Q146" s="45"/>
      <c r="R146" s="49"/>
      <c r="S146" s="45"/>
      <c r="T146" s="45"/>
      <c r="U146" s="609"/>
      <c r="V146" s="45"/>
      <c r="W146" s="45"/>
      <c r="X146" s="45"/>
      <c r="Y146" s="45"/>
      <c r="Z146" s="45"/>
      <c r="AA146" s="48"/>
      <c r="AB146" s="47"/>
      <c r="AC146" s="47"/>
      <c r="AD146" s="47"/>
      <c r="AE146" s="47"/>
      <c r="AF146" s="124" t="n">
        <v>11</v>
      </c>
    </row>
    <row r="147" s="124" customFormat="true" ht="11.25" hidden="false" customHeight="true" outlineLevel="0" collapsed="false">
      <c r="A147" s="608"/>
      <c r="B147" s="49"/>
      <c r="C147" s="49"/>
      <c r="K147" s="45"/>
      <c r="L147" s="49"/>
      <c r="M147" s="49"/>
      <c r="N147" s="45"/>
      <c r="O147" s="45"/>
      <c r="P147" s="45"/>
      <c r="Q147" s="45"/>
      <c r="R147" s="49"/>
      <c r="S147" s="45"/>
      <c r="T147" s="45"/>
      <c r="U147" s="609"/>
      <c r="V147" s="45"/>
      <c r="W147" s="45"/>
      <c r="X147" s="45"/>
      <c r="Y147" s="45"/>
      <c r="Z147" s="45"/>
      <c r="AA147" s="48"/>
      <c r="AB147" s="47"/>
      <c r="AC147" s="47"/>
      <c r="AD147" s="47"/>
      <c r="AE147" s="47"/>
      <c r="AF147" s="124" t="n">
        <v>11</v>
      </c>
    </row>
    <row r="148" s="124" customFormat="true" ht="11.25" hidden="false" customHeight="true" outlineLevel="0" collapsed="false">
      <c r="A148" s="608"/>
      <c r="B148" s="49"/>
      <c r="C148" s="49"/>
      <c r="K148" s="45"/>
      <c r="L148" s="49"/>
      <c r="M148" s="49"/>
      <c r="N148" s="45"/>
      <c r="O148" s="45"/>
      <c r="P148" s="45"/>
      <c r="Q148" s="45"/>
      <c r="R148" s="49"/>
      <c r="S148" s="45"/>
      <c r="T148" s="45"/>
      <c r="U148" s="609"/>
      <c r="V148" s="45"/>
      <c r="W148" s="45"/>
      <c r="X148" s="45"/>
      <c r="Y148" s="45"/>
      <c r="Z148" s="45"/>
      <c r="AA148" s="48"/>
      <c r="AB148" s="47"/>
      <c r="AC148" s="47"/>
      <c r="AD148" s="47"/>
      <c r="AE148" s="47"/>
      <c r="AF148" s="124" t="n">
        <v>11</v>
      </c>
    </row>
    <row r="149" s="124" customFormat="true" ht="11.25" hidden="false" customHeight="true" outlineLevel="0" collapsed="false">
      <c r="A149" s="608"/>
      <c r="B149" s="49"/>
      <c r="C149" s="49"/>
      <c r="K149" s="45"/>
      <c r="L149" s="49"/>
      <c r="M149" s="49"/>
      <c r="N149" s="45"/>
      <c r="O149" s="45"/>
      <c r="P149" s="45"/>
      <c r="Q149" s="45"/>
      <c r="R149" s="49"/>
      <c r="S149" s="45"/>
      <c r="T149" s="45"/>
      <c r="U149" s="609"/>
      <c r="V149" s="45"/>
      <c r="W149" s="45"/>
      <c r="X149" s="45"/>
      <c r="Y149" s="45"/>
      <c r="Z149" s="45"/>
      <c r="AA149" s="48"/>
      <c r="AB149" s="47"/>
      <c r="AC149" s="47"/>
      <c r="AD149" s="47"/>
      <c r="AE149" s="47"/>
      <c r="AF149" s="124" t="n">
        <v>11</v>
      </c>
    </row>
    <row r="150" s="124" customFormat="true" ht="11.25" hidden="false" customHeight="true" outlineLevel="0" collapsed="false">
      <c r="A150" s="608"/>
      <c r="B150" s="49"/>
      <c r="C150" s="49"/>
      <c r="K150" s="45"/>
      <c r="L150" s="49"/>
      <c r="M150" s="49"/>
      <c r="N150" s="45"/>
      <c r="O150" s="45"/>
      <c r="P150" s="45"/>
      <c r="Q150" s="45"/>
      <c r="R150" s="49"/>
      <c r="S150" s="45"/>
      <c r="T150" s="45"/>
      <c r="U150" s="609"/>
      <c r="V150" s="45"/>
      <c r="W150" s="45"/>
      <c r="X150" s="45"/>
      <c r="Y150" s="45"/>
      <c r="Z150" s="45"/>
      <c r="AA150" s="48"/>
      <c r="AB150" s="47"/>
      <c r="AC150" s="47"/>
      <c r="AD150" s="47"/>
      <c r="AE150" s="47"/>
      <c r="AF150" s="124" t="n">
        <v>11</v>
      </c>
    </row>
    <row r="151" s="124" customFormat="true" ht="11.25" hidden="false" customHeight="true" outlineLevel="0" collapsed="false">
      <c r="A151" s="608"/>
      <c r="B151" s="49"/>
      <c r="C151" s="49"/>
      <c r="K151" s="45"/>
      <c r="L151" s="49"/>
      <c r="M151" s="49"/>
      <c r="N151" s="45"/>
      <c r="O151" s="45"/>
      <c r="P151" s="45"/>
      <c r="Q151" s="45"/>
      <c r="R151" s="49"/>
      <c r="S151" s="45"/>
      <c r="T151" s="45"/>
      <c r="U151" s="609"/>
      <c r="V151" s="45"/>
      <c r="W151" s="45"/>
      <c r="X151" s="45"/>
      <c r="Y151" s="45"/>
      <c r="Z151" s="45"/>
      <c r="AA151" s="48"/>
      <c r="AB151" s="47"/>
      <c r="AC151" s="47"/>
      <c r="AD151" s="47"/>
      <c r="AE151" s="47"/>
      <c r="AF151" s="124" t="n">
        <v>11</v>
      </c>
    </row>
    <row r="152" s="124" customFormat="true" ht="11.25" hidden="false" customHeight="true" outlineLevel="0" collapsed="false">
      <c r="A152" s="608"/>
      <c r="B152" s="49"/>
      <c r="C152" s="49"/>
      <c r="K152" s="45"/>
      <c r="L152" s="49"/>
      <c r="M152" s="49"/>
      <c r="N152" s="45"/>
      <c r="O152" s="45"/>
      <c r="P152" s="45"/>
      <c r="Q152" s="45"/>
      <c r="R152" s="49"/>
      <c r="S152" s="45"/>
      <c r="T152" s="45"/>
      <c r="U152" s="609"/>
      <c r="V152" s="45"/>
      <c r="W152" s="45"/>
      <c r="X152" s="45"/>
      <c r="Y152" s="45"/>
      <c r="Z152" s="45"/>
      <c r="AA152" s="48"/>
      <c r="AB152" s="47"/>
      <c r="AC152" s="47"/>
      <c r="AD152" s="47"/>
      <c r="AE152" s="47"/>
      <c r="AF152" s="124" t="n">
        <v>11</v>
      </c>
    </row>
    <row r="153" s="124" customFormat="true" ht="11.25" hidden="false" customHeight="true" outlineLevel="0" collapsed="false">
      <c r="A153" s="608"/>
      <c r="B153" s="49"/>
      <c r="C153" s="49"/>
      <c r="K153" s="45"/>
      <c r="L153" s="49"/>
      <c r="M153" s="49"/>
      <c r="N153" s="45"/>
      <c r="O153" s="45"/>
      <c r="P153" s="45"/>
      <c r="Q153" s="45"/>
      <c r="R153" s="49"/>
      <c r="S153" s="45"/>
      <c r="T153" s="45"/>
      <c r="U153" s="609"/>
      <c r="V153" s="45"/>
      <c r="W153" s="45"/>
      <c r="X153" s="45"/>
      <c r="Y153" s="45"/>
      <c r="Z153" s="45"/>
      <c r="AA153" s="48"/>
      <c r="AB153" s="47"/>
      <c r="AC153" s="47"/>
      <c r="AD153" s="47"/>
      <c r="AE153" s="47"/>
      <c r="AF153" s="124" t="n">
        <v>11</v>
      </c>
    </row>
    <row r="154" s="124" customFormat="true" ht="11.25" hidden="false" customHeight="true" outlineLevel="0" collapsed="false">
      <c r="A154" s="608"/>
      <c r="B154" s="49"/>
      <c r="C154" s="49"/>
      <c r="K154" s="45"/>
      <c r="L154" s="49"/>
      <c r="M154" s="49"/>
      <c r="N154" s="45"/>
      <c r="O154" s="45"/>
      <c r="P154" s="45"/>
      <c r="Q154" s="45"/>
      <c r="R154" s="49"/>
      <c r="S154" s="45"/>
      <c r="T154" s="45"/>
      <c r="U154" s="609"/>
      <c r="V154" s="45"/>
      <c r="W154" s="45"/>
      <c r="X154" s="45"/>
      <c r="Y154" s="45"/>
      <c r="Z154" s="45"/>
      <c r="AA154" s="48"/>
      <c r="AB154" s="47"/>
      <c r="AC154" s="47"/>
      <c r="AD154" s="47"/>
      <c r="AE154" s="47"/>
      <c r="AF154" s="124" t="n">
        <v>11</v>
      </c>
    </row>
    <row r="155" s="124" customFormat="true" ht="11.25" hidden="false" customHeight="true" outlineLevel="0" collapsed="false">
      <c r="A155" s="608"/>
      <c r="B155" s="49"/>
      <c r="C155" s="49"/>
      <c r="K155" s="45"/>
      <c r="L155" s="49"/>
      <c r="M155" s="49"/>
      <c r="N155" s="45"/>
      <c r="O155" s="45"/>
      <c r="P155" s="45"/>
      <c r="Q155" s="45"/>
      <c r="R155" s="49"/>
      <c r="S155" s="45"/>
      <c r="T155" s="45"/>
      <c r="U155" s="609"/>
      <c r="V155" s="45"/>
      <c r="W155" s="45"/>
      <c r="X155" s="45"/>
      <c r="Y155" s="45"/>
      <c r="Z155" s="45"/>
      <c r="AA155" s="48"/>
      <c r="AB155" s="47"/>
      <c r="AC155" s="47"/>
      <c r="AD155" s="47"/>
      <c r="AE155" s="47"/>
      <c r="AF155" s="124" t="n">
        <v>11</v>
      </c>
    </row>
    <row r="156" s="124" customFormat="true" ht="11.25" hidden="false" customHeight="true" outlineLevel="0" collapsed="false">
      <c r="A156" s="608"/>
      <c r="B156" s="49"/>
      <c r="C156" s="49"/>
      <c r="K156" s="45"/>
      <c r="L156" s="49"/>
      <c r="M156" s="49"/>
      <c r="N156" s="45"/>
      <c r="O156" s="45"/>
      <c r="P156" s="45"/>
      <c r="Q156" s="45"/>
      <c r="R156" s="49"/>
      <c r="S156" s="45"/>
      <c r="T156" s="45"/>
      <c r="U156" s="609"/>
      <c r="V156" s="45"/>
      <c r="W156" s="45"/>
      <c r="X156" s="45"/>
      <c r="Y156" s="45"/>
      <c r="Z156" s="45"/>
      <c r="AA156" s="48"/>
      <c r="AB156" s="47"/>
      <c r="AC156" s="47"/>
      <c r="AD156" s="47"/>
      <c r="AE156" s="47"/>
      <c r="AF156" s="124" t="n">
        <v>11</v>
      </c>
    </row>
    <row r="157" s="124" customFormat="true" ht="11.25" hidden="false" customHeight="true" outlineLevel="0" collapsed="false">
      <c r="A157" s="608"/>
      <c r="B157" s="49"/>
      <c r="C157" s="49"/>
      <c r="K157" s="45"/>
      <c r="L157" s="49"/>
      <c r="M157" s="49"/>
      <c r="N157" s="45"/>
      <c r="O157" s="45"/>
      <c r="P157" s="45"/>
      <c r="Q157" s="45"/>
      <c r="R157" s="49"/>
      <c r="S157" s="45"/>
      <c r="T157" s="45"/>
      <c r="U157" s="609"/>
      <c r="V157" s="45"/>
      <c r="W157" s="45"/>
      <c r="X157" s="45"/>
      <c r="Y157" s="45"/>
      <c r="Z157" s="45"/>
      <c r="AA157" s="48"/>
      <c r="AB157" s="47"/>
      <c r="AC157" s="47"/>
      <c r="AD157" s="47"/>
      <c r="AE157" s="47"/>
      <c r="AF157" s="124" t="n">
        <v>11</v>
      </c>
    </row>
    <row r="158" s="124" customFormat="true" ht="11.25" hidden="false" customHeight="true" outlineLevel="0" collapsed="false">
      <c r="A158" s="608"/>
      <c r="B158" s="49"/>
      <c r="C158" s="49"/>
      <c r="K158" s="45"/>
      <c r="L158" s="49"/>
      <c r="M158" s="49"/>
      <c r="N158" s="45"/>
      <c r="O158" s="45"/>
      <c r="P158" s="45"/>
      <c r="Q158" s="45"/>
      <c r="R158" s="49"/>
      <c r="S158" s="45"/>
      <c r="T158" s="45"/>
      <c r="U158" s="609"/>
      <c r="V158" s="45"/>
      <c r="W158" s="45"/>
      <c r="X158" s="45"/>
      <c r="Y158" s="45"/>
      <c r="Z158" s="45"/>
      <c r="AA158" s="48"/>
      <c r="AB158" s="47"/>
      <c r="AC158" s="47"/>
      <c r="AD158" s="47"/>
      <c r="AE158" s="47"/>
      <c r="AF158" s="124" t="n">
        <v>11</v>
      </c>
    </row>
    <row r="159" s="124" customFormat="true" ht="11.25" hidden="false" customHeight="true" outlineLevel="0" collapsed="false">
      <c r="A159" s="608"/>
      <c r="B159" s="49"/>
      <c r="C159" s="49"/>
      <c r="K159" s="45"/>
      <c r="L159" s="49"/>
      <c r="M159" s="49"/>
      <c r="N159" s="45"/>
      <c r="O159" s="45"/>
      <c r="P159" s="45"/>
      <c r="Q159" s="45"/>
      <c r="R159" s="49"/>
      <c r="S159" s="45"/>
      <c r="T159" s="45"/>
      <c r="U159" s="609"/>
      <c r="V159" s="45"/>
      <c r="W159" s="45"/>
      <c r="X159" s="45"/>
      <c r="Y159" s="45"/>
      <c r="Z159" s="45"/>
      <c r="AA159" s="48"/>
      <c r="AB159" s="47"/>
      <c r="AC159" s="47"/>
      <c r="AD159" s="47"/>
      <c r="AE159" s="47"/>
      <c r="AF159" s="124" t="n">
        <v>11</v>
      </c>
    </row>
    <row r="160" s="124" customFormat="true" ht="11.25" hidden="false" customHeight="true" outlineLevel="0" collapsed="false">
      <c r="A160" s="608"/>
      <c r="B160" s="49"/>
      <c r="C160" s="49"/>
      <c r="K160" s="45"/>
      <c r="L160" s="49"/>
      <c r="M160" s="49"/>
      <c r="N160" s="45"/>
      <c r="O160" s="45"/>
      <c r="P160" s="45"/>
      <c r="Q160" s="45"/>
      <c r="R160" s="49"/>
      <c r="S160" s="45"/>
      <c r="T160" s="45"/>
      <c r="U160" s="609"/>
      <c r="V160" s="45"/>
      <c r="W160" s="45"/>
      <c r="X160" s="45"/>
      <c r="Y160" s="45"/>
      <c r="Z160" s="45"/>
      <c r="AA160" s="48"/>
      <c r="AB160" s="47"/>
      <c r="AC160" s="47"/>
      <c r="AD160" s="47"/>
      <c r="AE160" s="47"/>
      <c r="AF160" s="124" t="n">
        <v>11</v>
      </c>
    </row>
    <row r="161" s="124" customFormat="true" ht="11.25" hidden="false" customHeight="true" outlineLevel="0" collapsed="false">
      <c r="A161" s="608"/>
      <c r="B161" s="49"/>
      <c r="C161" s="49"/>
      <c r="K161" s="45"/>
      <c r="L161" s="49"/>
      <c r="M161" s="49"/>
      <c r="N161" s="45"/>
      <c r="O161" s="45"/>
      <c r="P161" s="45"/>
      <c r="Q161" s="45"/>
      <c r="R161" s="49"/>
      <c r="S161" s="45"/>
      <c r="T161" s="45"/>
      <c r="U161" s="609"/>
      <c r="V161" s="45"/>
      <c r="W161" s="45"/>
      <c r="X161" s="45"/>
      <c r="Y161" s="45"/>
      <c r="Z161" s="45"/>
      <c r="AA161" s="48"/>
      <c r="AB161" s="47"/>
      <c r="AC161" s="47"/>
      <c r="AD161" s="47"/>
      <c r="AE161" s="47"/>
      <c r="AF161" s="124" t="n">
        <v>11</v>
      </c>
    </row>
    <row r="162" s="124" customFormat="true" ht="11.25" hidden="false" customHeight="true" outlineLevel="0" collapsed="false">
      <c r="A162" s="608"/>
      <c r="B162" s="49"/>
      <c r="C162" s="49"/>
      <c r="K162" s="45"/>
      <c r="L162" s="49"/>
      <c r="M162" s="49"/>
      <c r="N162" s="45"/>
      <c r="O162" s="45"/>
      <c r="P162" s="45"/>
      <c r="Q162" s="45"/>
      <c r="R162" s="49"/>
      <c r="S162" s="45"/>
      <c r="T162" s="45"/>
      <c r="U162" s="609"/>
      <c r="V162" s="45"/>
      <c r="W162" s="45"/>
      <c r="X162" s="45"/>
      <c r="Y162" s="45"/>
      <c r="Z162" s="45"/>
      <c r="AA162" s="48"/>
      <c r="AB162" s="47"/>
      <c r="AC162" s="47"/>
      <c r="AD162" s="47"/>
      <c r="AE162" s="47"/>
      <c r="AF162" s="124" t="n">
        <v>11</v>
      </c>
    </row>
    <row r="163" s="124" customFormat="true" ht="11.25" hidden="false" customHeight="true" outlineLevel="0" collapsed="false">
      <c r="A163" s="608"/>
      <c r="B163" s="49"/>
      <c r="C163" s="49"/>
      <c r="K163" s="45"/>
      <c r="L163" s="49"/>
      <c r="M163" s="49"/>
      <c r="N163" s="45"/>
      <c r="O163" s="45"/>
      <c r="P163" s="45"/>
      <c r="Q163" s="45"/>
      <c r="R163" s="49"/>
      <c r="S163" s="45"/>
      <c r="T163" s="45"/>
      <c r="U163" s="609"/>
      <c r="V163" s="45"/>
      <c r="W163" s="45"/>
      <c r="X163" s="45"/>
      <c r="Y163" s="45"/>
      <c r="Z163" s="45"/>
      <c r="AA163" s="48"/>
      <c r="AB163" s="47"/>
      <c r="AC163" s="47"/>
      <c r="AD163" s="47"/>
      <c r="AE163" s="47"/>
      <c r="AF163" s="124" t="n">
        <v>11</v>
      </c>
    </row>
    <row r="164" s="124" customFormat="true" ht="11.25" hidden="false" customHeight="true" outlineLevel="0" collapsed="false">
      <c r="A164" s="608"/>
      <c r="B164" s="49"/>
      <c r="C164" s="49"/>
      <c r="K164" s="45"/>
      <c r="L164" s="49"/>
      <c r="M164" s="49"/>
      <c r="N164" s="45"/>
      <c r="O164" s="45"/>
      <c r="P164" s="45"/>
      <c r="Q164" s="45"/>
      <c r="R164" s="49"/>
      <c r="S164" s="45"/>
      <c r="T164" s="45"/>
      <c r="U164" s="609"/>
      <c r="V164" s="45"/>
      <c r="W164" s="45"/>
      <c r="X164" s="45"/>
      <c r="Y164" s="45"/>
      <c r="Z164" s="45"/>
      <c r="AA164" s="48"/>
      <c r="AB164" s="47"/>
      <c r="AC164" s="47"/>
      <c r="AD164" s="47"/>
      <c r="AE164" s="47"/>
      <c r="AF164" s="124" t="n">
        <v>11</v>
      </c>
    </row>
    <row r="165" s="124" customFormat="true" ht="11.25" hidden="false" customHeight="true" outlineLevel="0" collapsed="false">
      <c r="A165" s="608"/>
      <c r="B165" s="49"/>
      <c r="C165" s="49"/>
      <c r="K165" s="45"/>
      <c r="L165" s="49"/>
      <c r="M165" s="49"/>
      <c r="N165" s="45"/>
      <c r="O165" s="45"/>
      <c r="P165" s="45"/>
      <c r="Q165" s="45"/>
      <c r="R165" s="49"/>
      <c r="S165" s="45"/>
      <c r="T165" s="45"/>
      <c r="U165" s="609"/>
      <c r="V165" s="45"/>
      <c r="W165" s="45"/>
      <c r="X165" s="45"/>
      <c r="Y165" s="45"/>
      <c r="Z165" s="45"/>
      <c r="AA165" s="48"/>
      <c r="AB165" s="47"/>
      <c r="AC165" s="47"/>
      <c r="AD165" s="47"/>
      <c r="AE165" s="47"/>
      <c r="AF165" s="124" t="n">
        <v>11</v>
      </c>
    </row>
    <row r="166" s="124" customFormat="true" ht="11.25" hidden="false" customHeight="true" outlineLevel="0" collapsed="false">
      <c r="A166" s="608"/>
      <c r="B166" s="49"/>
      <c r="C166" s="49"/>
      <c r="K166" s="45"/>
      <c r="L166" s="49"/>
      <c r="M166" s="49"/>
      <c r="N166" s="45"/>
      <c r="O166" s="45"/>
      <c r="P166" s="45"/>
      <c r="Q166" s="45"/>
      <c r="R166" s="49"/>
      <c r="S166" s="45"/>
      <c r="T166" s="45"/>
      <c r="U166" s="609"/>
      <c r="V166" s="45"/>
      <c r="W166" s="45"/>
      <c r="X166" s="45"/>
      <c r="Y166" s="45"/>
      <c r="Z166" s="45"/>
      <c r="AA166" s="48"/>
      <c r="AB166" s="47"/>
      <c r="AC166" s="47"/>
      <c r="AD166" s="47"/>
      <c r="AE166" s="47"/>
      <c r="AF166" s="124" t="n">
        <v>11</v>
      </c>
    </row>
    <row r="167" s="124" customFormat="true" ht="11.25" hidden="false" customHeight="true" outlineLevel="0" collapsed="false">
      <c r="A167" s="608"/>
      <c r="B167" s="49"/>
      <c r="C167" s="49"/>
      <c r="K167" s="45"/>
      <c r="L167" s="49"/>
      <c r="M167" s="49"/>
      <c r="N167" s="45"/>
      <c r="O167" s="45"/>
      <c r="P167" s="45"/>
      <c r="Q167" s="45"/>
      <c r="R167" s="49"/>
      <c r="S167" s="45"/>
      <c r="T167" s="45"/>
      <c r="U167" s="609"/>
      <c r="V167" s="45"/>
      <c r="W167" s="45"/>
      <c r="X167" s="45"/>
      <c r="Y167" s="45"/>
      <c r="Z167" s="45"/>
      <c r="AA167" s="48"/>
      <c r="AB167" s="47"/>
      <c r="AC167" s="47"/>
      <c r="AD167" s="47"/>
      <c r="AE167" s="47"/>
      <c r="AF167" s="124" t="n">
        <v>11</v>
      </c>
    </row>
    <row r="168" s="124" customFormat="true" ht="11.25" hidden="false" customHeight="true" outlineLevel="0" collapsed="false">
      <c r="A168" s="608"/>
      <c r="B168" s="49"/>
      <c r="C168" s="49"/>
      <c r="K168" s="45"/>
      <c r="L168" s="49"/>
      <c r="M168" s="49"/>
      <c r="N168" s="45"/>
      <c r="O168" s="45"/>
      <c r="P168" s="45"/>
      <c r="Q168" s="45"/>
      <c r="R168" s="49"/>
      <c r="S168" s="45"/>
      <c r="T168" s="45"/>
      <c r="U168" s="609"/>
      <c r="V168" s="45"/>
      <c r="W168" s="45"/>
      <c r="X168" s="45"/>
      <c r="Y168" s="45"/>
      <c r="Z168" s="45"/>
      <c r="AA168" s="48"/>
      <c r="AB168" s="47"/>
      <c r="AC168" s="47"/>
      <c r="AD168" s="47"/>
      <c r="AE168" s="47"/>
      <c r="AF168" s="124" t="n">
        <v>11</v>
      </c>
    </row>
    <row r="169" s="124" customFormat="true" ht="11.25" hidden="false" customHeight="true" outlineLevel="0" collapsed="false">
      <c r="A169" s="608"/>
      <c r="B169" s="49"/>
      <c r="C169" s="49"/>
      <c r="K169" s="45"/>
      <c r="L169" s="49"/>
      <c r="M169" s="49"/>
      <c r="N169" s="45"/>
      <c r="O169" s="45"/>
      <c r="P169" s="45"/>
      <c r="Q169" s="45"/>
      <c r="R169" s="49"/>
      <c r="S169" s="45"/>
      <c r="T169" s="45"/>
      <c r="U169" s="609"/>
      <c r="V169" s="45"/>
      <c r="W169" s="45"/>
      <c r="X169" s="45"/>
      <c r="Y169" s="45"/>
      <c r="Z169" s="45"/>
      <c r="AA169" s="48"/>
      <c r="AB169" s="47"/>
      <c r="AC169" s="47"/>
      <c r="AD169" s="47"/>
      <c r="AE169" s="47"/>
      <c r="AF169" s="124" t="n">
        <v>11</v>
      </c>
    </row>
    <row r="170" s="124" customFormat="true" ht="11.25" hidden="false" customHeight="true" outlineLevel="0" collapsed="false">
      <c r="A170" s="608"/>
      <c r="B170" s="49"/>
      <c r="C170" s="49"/>
      <c r="K170" s="45"/>
      <c r="L170" s="49"/>
      <c r="M170" s="49"/>
      <c r="N170" s="45"/>
      <c r="O170" s="45"/>
      <c r="P170" s="45"/>
      <c r="Q170" s="45"/>
      <c r="R170" s="49"/>
      <c r="S170" s="45"/>
      <c r="T170" s="45"/>
      <c r="U170" s="609"/>
      <c r="V170" s="45"/>
      <c r="W170" s="45"/>
      <c r="X170" s="45"/>
      <c r="Y170" s="45"/>
      <c r="Z170" s="45"/>
      <c r="AA170" s="48"/>
      <c r="AB170" s="47"/>
      <c r="AC170" s="47"/>
      <c r="AD170" s="47"/>
      <c r="AE170" s="47"/>
      <c r="AF170" s="124" t="n">
        <v>11</v>
      </c>
    </row>
    <row r="171" s="124" customFormat="true" ht="11.25" hidden="false" customHeight="true" outlineLevel="0" collapsed="false">
      <c r="A171" s="608"/>
      <c r="B171" s="49"/>
      <c r="C171" s="49"/>
      <c r="K171" s="45"/>
      <c r="L171" s="49"/>
      <c r="M171" s="49"/>
      <c r="N171" s="45"/>
      <c r="O171" s="45"/>
      <c r="P171" s="45"/>
      <c r="Q171" s="45"/>
      <c r="R171" s="49"/>
      <c r="S171" s="45"/>
      <c r="T171" s="45"/>
      <c r="U171" s="609"/>
      <c r="V171" s="45"/>
      <c r="W171" s="45"/>
      <c r="X171" s="45"/>
      <c r="Y171" s="45"/>
      <c r="Z171" s="45"/>
      <c r="AA171" s="48"/>
      <c r="AB171" s="47"/>
      <c r="AC171" s="47"/>
      <c r="AD171" s="47"/>
      <c r="AE171" s="47"/>
      <c r="AF171" s="124" t="n">
        <v>11</v>
      </c>
    </row>
    <row r="172" s="124" customFormat="true" ht="11.25" hidden="false" customHeight="true" outlineLevel="0" collapsed="false">
      <c r="A172" s="608"/>
      <c r="B172" s="49"/>
      <c r="C172" s="49"/>
      <c r="K172" s="45"/>
      <c r="L172" s="49"/>
      <c r="M172" s="49"/>
      <c r="N172" s="45"/>
      <c r="O172" s="45"/>
      <c r="P172" s="45"/>
      <c r="Q172" s="45"/>
      <c r="R172" s="49"/>
      <c r="S172" s="45"/>
      <c r="T172" s="45"/>
      <c r="U172" s="609"/>
      <c r="V172" s="45"/>
      <c r="W172" s="45"/>
      <c r="X172" s="45"/>
      <c r="Y172" s="45"/>
      <c r="Z172" s="45"/>
      <c r="AA172" s="48"/>
      <c r="AB172" s="47"/>
      <c r="AC172" s="47"/>
      <c r="AD172" s="47"/>
      <c r="AE172" s="47"/>
      <c r="AF172" s="124" t="n">
        <v>11</v>
      </c>
    </row>
    <row r="173" s="124" customFormat="true" ht="11.25" hidden="false" customHeight="true" outlineLevel="0" collapsed="false">
      <c r="A173" s="608"/>
      <c r="B173" s="49"/>
      <c r="C173" s="49"/>
      <c r="K173" s="45"/>
      <c r="L173" s="49"/>
      <c r="M173" s="49"/>
      <c r="N173" s="45"/>
      <c r="O173" s="45"/>
      <c r="P173" s="45"/>
      <c r="Q173" s="45"/>
      <c r="R173" s="49"/>
      <c r="S173" s="45"/>
      <c r="T173" s="45"/>
      <c r="U173" s="609"/>
      <c r="V173" s="45"/>
      <c r="W173" s="45"/>
      <c r="X173" s="45"/>
      <c r="Y173" s="45"/>
      <c r="Z173" s="45"/>
      <c r="AA173" s="48"/>
      <c r="AB173" s="47"/>
      <c r="AC173" s="47"/>
      <c r="AD173" s="47"/>
      <c r="AE173" s="47"/>
      <c r="AF173" s="124" t="n">
        <v>11</v>
      </c>
    </row>
    <row r="174" s="124" customFormat="true" ht="11.25" hidden="false" customHeight="true" outlineLevel="0" collapsed="false">
      <c r="A174" s="608"/>
      <c r="B174" s="49"/>
      <c r="C174" s="49"/>
      <c r="K174" s="45"/>
      <c r="L174" s="49"/>
      <c r="M174" s="49"/>
      <c r="N174" s="45"/>
      <c r="O174" s="45"/>
      <c r="P174" s="45"/>
      <c r="Q174" s="45"/>
      <c r="R174" s="49"/>
      <c r="S174" s="45"/>
      <c r="T174" s="45"/>
      <c r="U174" s="609"/>
      <c r="V174" s="45"/>
      <c r="W174" s="45"/>
      <c r="X174" s="45"/>
      <c r="Y174" s="45"/>
      <c r="Z174" s="45"/>
      <c r="AA174" s="48"/>
      <c r="AB174" s="47"/>
      <c r="AC174" s="47"/>
      <c r="AD174" s="47"/>
      <c r="AE174" s="47"/>
      <c r="AF174" s="124" t="n">
        <v>11</v>
      </c>
    </row>
    <row r="175" s="124" customFormat="true" ht="11.25" hidden="false" customHeight="true" outlineLevel="0" collapsed="false">
      <c r="A175" s="608"/>
      <c r="B175" s="49"/>
      <c r="C175" s="49"/>
      <c r="K175" s="45"/>
      <c r="L175" s="49"/>
      <c r="M175" s="49"/>
      <c r="N175" s="45"/>
      <c r="O175" s="45"/>
      <c r="P175" s="45"/>
      <c r="Q175" s="45"/>
      <c r="R175" s="49"/>
      <c r="S175" s="45"/>
      <c r="T175" s="45"/>
      <c r="U175" s="609"/>
      <c r="V175" s="45"/>
      <c r="W175" s="45"/>
      <c r="X175" s="45"/>
      <c r="Y175" s="45"/>
      <c r="Z175" s="45"/>
      <c r="AA175" s="48"/>
      <c r="AB175" s="47"/>
      <c r="AC175" s="47"/>
      <c r="AD175" s="47"/>
      <c r="AE175" s="47"/>
      <c r="AF175" s="124" t="n">
        <v>11</v>
      </c>
    </row>
    <row r="176" s="124" customFormat="true" ht="11.25" hidden="false" customHeight="true" outlineLevel="0" collapsed="false">
      <c r="A176" s="608"/>
      <c r="B176" s="49"/>
      <c r="C176" s="49"/>
      <c r="K176" s="45"/>
      <c r="L176" s="49"/>
      <c r="M176" s="49"/>
      <c r="N176" s="45"/>
      <c r="O176" s="45"/>
      <c r="P176" s="45"/>
      <c r="Q176" s="45"/>
      <c r="R176" s="49"/>
      <c r="S176" s="45"/>
      <c r="T176" s="45"/>
      <c r="U176" s="609"/>
      <c r="V176" s="45"/>
      <c r="W176" s="45"/>
      <c r="X176" s="45"/>
      <c r="Y176" s="45"/>
      <c r="Z176" s="45"/>
      <c r="AA176" s="48"/>
      <c r="AB176" s="47"/>
      <c r="AC176" s="47"/>
      <c r="AD176" s="47"/>
      <c r="AE176" s="47"/>
      <c r="AF176" s="124" t="n">
        <v>11</v>
      </c>
    </row>
    <row r="177" s="124" customFormat="true" ht="11.25" hidden="false" customHeight="true" outlineLevel="0" collapsed="false">
      <c r="A177" s="608"/>
      <c r="B177" s="49"/>
      <c r="C177" s="49"/>
      <c r="K177" s="45"/>
      <c r="L177" s="49"/>
      <c r="M177" s="49"/>
      <c r="N177" s="45"/>
      <c r="O177" s="45"/>
      <c r="P177" s="45"/>
      <c r="Q177" s="45"/>
      <c r="R177" s="49"/>
      <c r="S177" s="45"/>
      <c r="T177" s="45"/>
      <c r="U177" s="609"/>
      <c r="V177" s="45"/>
      <c r="W177" s="45"/>
      <c r="X177" s="45"/>
      <c r="Y177" s="45"/>
      <c r="Z177" s="45"/>
      <c r="AA177" s="48"/>
      <c r="AB177" s="47"/>
      <c r="AC177" s="47"/>
      <c r="AD177" s="47"/>
      <c r="AE177" s="47"/>
      <c r="AF177" s="124" t="n">
        <v>11</v>
      </c>
    </row>
    <row r="178" s="124" customFormat="true" ht="11.25" hidden="false" customHeight="true" outlineLevel="0" collapsed="false">
      <c r="A178" s="608"/>
      <c r="B178" s="49"/>
      <c r="C178" s="49"/>
      <c r="K178" s="45"/>
      <c r="L178" s="49"/>
      <c r="M178" s="49"/>
      <c r="N178" s="45"/>
      <c r="O178" s="45"/>
      <c r="P178" s="45"/>
      <c r="Q178" s="45"/>
      <c r="R178" s="49"/>
      <c r="S178" s="45"/>
      <c r="T178" s="45"/>
      <c r="U178" s="609"/>
      <c r="V178" s="45"/>
      <c r="W178" s="45"/>
      <c r="X178" s="45"/>
      <c r="Y178" s="45"/>
      <c r="Z178" s="45"/>
      <c r="AA178" s="48"/>
      <c r="AB178" s="47"/>
      <c r="AC178" s="47"/>
      <c r="AD178" s="47"/>
      <c r="AE178" s="47"/>
      <c r="AF178" s="124" t="n">
        <v>11</v>
      </c>
    </row>
    <row r="179" s="124" customFormat="true" ht="11.25" hidden="false" customHeight="true" outlineLevel="0" collapsed="false">
      <c r="A179" s="608"/>
      <c r="B179" s="49"/>
      <c r="C179" s="49"/>
      <c r="K179" s="45"/>
      <c r="L179" s="49"/>
      <c r="M179" s="49"/>
      <c r="N179" s="45"/>
      <c r="O179" s="45"/>
      <c r="P179" s="45"/>
      <c r="Q179" s="45"/>
      <c r="R179" s="49"/>
      <c r="S179" s="45"/>
      <c r="T179" s="45"/>
      <c r="U179" s="609"/>
      <c r="V179" s="45"/>
      <c r="W179" s="45"/>
      <c r="X179" s="45"/>
      <c r="Y179" s="45"/>
      <c r="Z179" s="45"/>
      <c r="AA179" s="48"/>
      <c r="AB179" s="47"/>
      <c r="AC179" s="47"/>
      <c r="AD179" s="47"/>
      <c r="AE179" s="47"/>
      <c r="AF179" s="124" t="n">
        <v>11</v>
      </c>
    </row>
    <row r="180" s="124" customFormat="true" ht="11.25" hidden="false" customHeight="true" outlineLevel="0" collapsed="false">
      <c r="A180" s="608"/>
      <c r="B180" s="49"/>
      <c r="C180" s="49"/>
      <c r="K180" s="45"/>
      <c r="L180" s="49"/>
      <c r="M180" s="49"/>
      <c r="N180" s="45"/>
      <c r="O180" s="45"/>
      <c r="P180" s="45"/>
      <c r="Q180" s="45"/>
      <c r="R180" s="49"/>
      <c r="S180" s="45"/>
      <c r="T180" s="45"/>
      <c r="U180" s="609"/>
      <c r="V180" s="45"/>
      <c r="W180" s="45"/>
      <c r="X180" s="45"/>
      <c r="Y180" s="45"/>
      <c r="Z180" s="45"/>
      <c r="AA180" s="48"/>
      <c r="AB180" s="47"/>
      <c r="AC180" s="47"/>
      <c r="AD180" s="47"/>
      <c r="AE180" s="47"/>
      <c r="AF180" s="124" t="n">
        <v>11</v>
      </c>
    </row>
    <row r="181" s="124" customFormat="true" ht="11.25" hidden="false" customHeight="true" outlineLevel="0" collapsed="false">
      <c r="A181" s="608"/>
      <c r="B181" s="49"/>
      <c r="C181" s="49"/>
      <c r="K181" s="45"/>
      <c r="L181" s="49"/>
      <c r="M181" s="49"/>
      <c r="N181" s="45"/>
      <c r="O181" s="45"/>
      <c r="P181" s="45"/>
      <c r="Q181" s="45"/>
      <c r="R181" s="49"/>
      <c r="S181" s="45"/>
      <c r="T181" s="45"/>
      <c r="U181" s="609"/>
      <c r="V181" s="45"/>
      <c r="W181" s="45"/>
      <c r="X181" s="45"/>
      <c r="Y181" s="45"/>
      <c r="Z181" s="45"/>
      <c r="AA181" s="48"/>
      <c r="AB181" s="47"/>
      <c r="AC181" s="47"/>
      <c r="AD181" s="47"/>
      <c r="AE181" s="47"/>
      <c r="AF181" s="124" t="n">
        <v>11</v>
      </c>
    </row>
    <row r="182" s="124" customFormat="true" ht="11.25" hidden="false" customHeight="true" outlineLevel="0" collapsed="false">
      <c r="A182" s="608"/>
      <c r="B182" s="49"/>
      <c r="C182" s="49"/>
      <c r="K182" s="45"/>
      <c r="L182" s="49"/>
      <c r="M182" s="49"/>
      <c r="N182" s="45"/>
      <c r="O182" s="45"/>
      <c r="P182" s="45"/>
      <c r="Q182" s="45"/>
      <c r="R182" s="49"/>
      <c r="S182" s="45"/>
      <c r="T182" s="45"/>
      <c r="U182" s="609"/>
      <c r="V182" s="45"/>
      <c r="W182" s="45"/>
      <c r="X182" s="45"/>
      <c r="Y182" s="45"/>
      <c r="Z182" s="45"/>
      <c r="AA182" s="48"/>
      <c r="AB182" s="47"/>
      <c r="AC182" s="47"/>
      <c r="AD182" s="47"/>
      <c r="AE182" s="47"/>
      <c r="AF182" s="124" t="n">
        <v>11</v>
      </c>
    </row>
    <row r="183" s="124" customFormat="true" ht="11.25" hidden="false" customHeight="true" outlineLevel="0" collapsed="false">
      <c r="A183" s="608"/>
      <c r="B183" s="49"/>
      <c r="C183" s="49"/>
      <c r="K183" s="45"/>
      <c r="L183" s="49"/>
      <c r="M183" s="49"/>
      <c r="N183" s="45"/>
      <c r="O183" s="45"/>
      <c r="P183" s="45"/>
      <c r="Q183" s="45"/>
      <c r="R183" s="49"/>
      <c r="S183" s="45"/>
      <c r="T183" s="45"/>
      <c r="U183" s="609"/>
      <c r="V183" s="45"/>
      <c r="W183" s="45"/>
      <c r="X183" s="45"/>
      <c r="Y183" s="45"/>
      <c r="Z183" s="45"/>
      <c r="AA183" s="48"/>
      <c r="AB183" s="47"/>
      <c r="AC183" s="47"/>
      <c r="AD183" s="47"/>
      <c r="AE183" s="47"/>
      <c r="AF183" s="124" t="n">
        <v>11</v>
      </c>
    </row>
    <row r="184" s="124" customFormat="true" ht="11.25" hidden="false" customHeight="true" outlineLevel="0" collapsed="false">
      <c r="A184" s="608"/>
      <c r="B184" s="49"/>
      <c r="C184" s="49"/>
      <c r="K184" s="45"/>
      <c r="L184" s="49"/>
      <c r="M184" s="49"/>
      <c r="N184" s="45"/>
      <c r="O184" s="45"/>
      <c r="P184" s="45"/>
      <c r="Q184" s="45"/>
      <c r="R184" s="49"/>
      <c r="S184" s="45"/>
      <c r="T184" s="45"/>
      <c r="U184" s="609"/>
      <c r="V184" s="45"/>
      <c r="W184" s="45"/>
      <c r="X184" s="45"/>
      <c r="Y184" s="45"/>
      <c r="Z184" s="45"/>
      <c r="AA184" s="48"/>
      <c r="AB184" s="47"/>
      <c r="AC184" s="47"/>
      <c r="AD184" s="47"/>
      <c r="AE184" s="47"/>
      <c r="AF184" s="124" t="n">
        <v>11</v>
      </c>
    </row>
    <row r="185" s="124" customFormat="true" ht="11.25" hidden="false" customHeight="true" outlineLevel="0" collapsed="false">
      <c r="A185" s="608"/>
      <c r="B185" s="49"/>
      <c r="C185" s="49"/>
      <c r="K185" s="45"/>
      <c r="L185" s="49"/>
      <c r="M185" s="49"/>
      <c r="N185" s="45"/>
      <c r="O185" s="45"/>
      <c r="P185" s="45"/>
      <c r="Q185" s="45"/>
      <c r="R185" s="49"/>
      <c r="S185" s="45"/>
      <c r="T185" s="45"/>
      <c r="U185" s="609"/>
      <c r="V185" s="45"/>
      <c r="W185" s="45"/>
      <c r="X185" s="45"/>
      <c r="Y185" s="45"/>
      <c r="Z185" s="45"/>
      <c r="AA185" s="48"/>
      <c r="AB185" s="47"/>
      <c r="AC185" s="47"/>
      <c r="AD185" s="47"/>
      <c r="AE185" s="47"/>
      <c r="AF185" s="124" t="n">
        <v>11</v>
      </c>
    </row>
    <row r="186" s="124" customFormat="true" ht="11.25" hidden="false" customHeight="true" outlineLevel="0" collapsed="false">
      <c r="A186" s="608"/>
      <c r="B186" s="49"/>
      <c r="C186" s="49"/>
      <c r="K186" s="45"/>
      <c r="L186" s="49"/>
      <c r="M186" s="49"/>
      <c r="N186" s="45"/>
      <c r="O186" s="45"/>
      <c r="P186" s="45"/>
      <c r="Q186" s="45"/>
      <c r="R186" s="49"/>
      <c r="S186" s="45"/>
      <c r="T186" s="45"/>
      <c r="U186" s="609"/>
      <c r="V186" s="45"/>
      <c r="W186" s="45"/>
      <c r="X186" s="45"/>
      <c r="Y186" s="45"/>
      <c r="Z186" s="45"/>
      <c r="AA186" s="48"/>
      <c r="AB186" s="47"/>
      <c r="AC186" s="47"/>
      <c r="AD186" s="47"/>
      <c r="AE186" s="47"/>
      <c r="AF186" s="124" t="n">
        <v>11</v>
      </c>
    </row>
    <row r="187" s="124" customFormat="true" ht="11.25" hidden="false" customHeight="true" outlineLevel="0" collapsed="false">
      <c r="A187" s="608"/>
      <c r="B187" s="49"/>
      <c r="C187" s="49"/>
      <c r="K187" s="45"/>
      <c r="L187" s="49"/>
      <c r="M187" s="49"/>
      <c r="N187" s="45"/>
      <c r="O187" s="45"/>
      <c r="P187" s="45"/>
      <c r="Q187" s="45"/>
      <c r="R187" s="49"/>
      <c r="S187" s="45"/>
      <c r="T187" s="45"/>
      <c r="U187" s="609"/>
      <c r="V187" s="45"/>
      <c r="W187" s="45"/>
      <c r="X187" s="45"/>
      <c r="Y187" s="45"/>
      <c r="Z187" s="45"/>
      <c r="AA187" s="48"/>
      <c r="AB187" s="47"/>
      <c r="AC187" s="47"/>
      <c r="AD187" s="47"/>
      <c r="AE187" s="47"/>
      <c r="AF187" s="124" t="n">
        <v>11</v>
      </c>
    </row>
    <row r="188" s="124" customFormat="true" ht="11.25" hidden="false" customHeight="true" outlineLevel="0" collapsed="false">
      <c r="A188" s="608"/>
      <c r="B188" s="49"/>
      <c r="C188" s="49"/>
      <c r="K188" s="45"/>
      <c r="L188" s="49"/>
      <c r="M188" s="49"/>
      <c r="N188" s="45"/>
      <c r="O188" s="45"/>
      <c r="P188" s="45"/>
      <c r="Q188" s="45"/>
      <c r="R188" s="49"/>
      <c r="S188" s="45"/>
      <c r="T188" s="45"/>
      <c r="U188" s="609"/>
      <c r="V188" s="45"/>
      <c r="W188" s="45"/>
      <c r="X188" s="45"/>
      <c r="Y188" s="45"/>
      <c r="Z188" s="45"/>
      <c r="AA188" s="48"/>
      <c r="AB188" s="47"/>
      <c r="AC188" s="47"/>
      <c r="AD188" s="47"/>
      <c r="AE188" s="47"/>
      <c r="AF188" s="124" t="n">
        <v>11</v>
      </c>
    </row>
    <row r="189" s="124" customFormat="true" ht="11.25" hidden="false" customHeight="true" outlineLevel="0" collapsed="false">
      <c r="A189" s="608"/>
      <c r="B189" s="49"/>
      <c r="C189" s="49"/>
      <c r="K189" s="45"/>
      <c r="L189" s="49"/>
      <c r="M189" s="49"/>
      <c r="N189" s="45"/>
      <c r="O189" s="45"/>
      <c r="P189" s="45"/>
      <c r="Q189" s="45"/>
      <c r="R189" s="49"/>
      <c r="S189" s="45"/>
      <c r="T189" s="45"/>
      <c r="U189" s="609"/>
      <c r="V189" s="45"/>
      <c r="W189" s="45"/>
      <c r="X189" s="45"/>
      <c r="Y189" s="45"/>
      <c r="Z189" s="45"/>
      <c r="AA189" s="48"/>
      <c r="AB189" s="47"/>
      <c r="AC189" s="47"/>
      <c r="AD189" s="47"/>
      <c r="AE189" s="47"/>
      <c r="AF189" s="124" t="n">
        <v>11</v>
      </c>
    </row>
    <row r="190" s="124" customFormat="true" ht="11.25" hidden="false" customHeight="true" outlineLevel="0" collapsed="false">
      <c r="A190" s="608"/>
      <c r="B190" s="49"/>
      <c r="C190" s="49"/>
      <c r="K190" s="45"/>
      <c r="L190" s="49"/>
      <c r="M190" s="49"/>
      <c r="N190" s="45"/>
      <c r="O190" s="45"/>
      <c r="P190" s="45"/>
      <c r="Q190" s="45"/>
      <c r="R190" s="49"/>
      <c r="S190" s="45"/>
      <c r="T190" s="45"/>
      <c r="U190" s="609"/>
      <c r="V190" s="45"/>
      <c r="W190" s="45"/>
      <c r="X190" s="45"/>
      <c r="Y190" s="45"/>
      <c r="Z190" s="45"/>
      <c r="AA190" s="48"/>
      <c r="AB190" s="47"/>
      <c r="AC190" s="47"/>
      <c r="AD190" s="47"/>
      <c r="AE190" s="47"/>
      <c r="AF190" s="124" t="n">
        <v>11</v>
      </c>
    </row>
    <row r="191" s="124" customFormat="true" ht="11.25" hidden="false" customHeight="true" outlineLevel="0" collapsed="false">
      <c r="A191" s="608"/>
      <c r="B191" s="49"/>
      <c r="C191" s="49"/>
      <c r="K191" s="45"/>
      <c r="L191" s="49"/>
      <c r="M191" s="49"/>
      <c r="N191" s="45"/>
      <c r="O191" s="45"/>
      <c r="P191" s="45"/>
      <c r="Q191" s="45"/>
      <c r="R191" s="49"/>
      <c r="S191" s="45"/>
      <c r="T191" s="45"/>
      <c r="U191" s="609"/>
      <c r="V191" s="45"/>
      <c r="W191" s="45"/>
      <c r="X191" s="45"/>
      <c r="Y191" s="45"/>
      <c r="Z191" s="45"/>
      <c r="AA191" s="48"/>
      <c r="AB191" s="47"/>
      <c r="AC191" s="47"/>
      <c r="AD191" s="47"/>
      <c r="AE191" s="47"/>
      <c r="AF191" s="124" t="n">
        <v>11</v>
      </c>
    </row>
    <row r="192" s="124" customFormat="true" ht="11.25" hidden="false" customHeight="true" outlineLevel="0" collapsed="false">
      <c r="A192" s="608"/>
      <c r="B192" s="49"/>
      <c r="C192" s="49"/>
      <c r="K192" s="45"/>
      <c r="L192" s="49"/>
      <c r="M192" s="49"/>
      <c r="N192" s="45"/>
      <c r="O192" s="45"/>
      <c r="P192" s="45"/>
      <c r="Q192" s="45"/>
      <c r="R192" s="49"/>
      <c r="S192" s="45"/>
      <c r="T192" s="45"/>
      <c r="U192" s="609"/>
      <c r="V192" s="45"/>
      <c r="W192" s="45"/>
      <c r="X192" s="45"/>
      <c r="Y192" s="45"/>
      <c r="Z192" s="45"/>
      <c r="AA192" s="48"/>
      <c r="AB192" s="47"/>
      <c r="AC192" s="47"/>
      <c r="AD192" s="47"/>
      <c r="AE192" s="47"/>
      <c r="AF192" s="124" t="n">
        <v>11</v>
      </c>
    </row>
    <row r="193" s="124" customFormat="true" ht="11.25" hidden="false" customHeight="true" outlineLevel="0" collapsed="false">
      <c r="A193" s="608"/>
      <c r="B193" s="49"/>
      <c r="C193" s="49"/>
      <c r="K193" s="45"/>
      <c r="L193" s="49"/>
      <c r="M193" s="49"/>
      <c r="N193" s="45"/>
      <c r="O193" s="45"/>
      <c r="P193" s="45"/>
      <c r="Q193" s="45"/>
      <c r="R193" s="49"/>
      <c r="S193" s="45"/>
      <c r="T193" s="45"/>
      <c r="U193" s="609"/>
      <c r="V193" s="45"/>
      <c r="W193" s="45"/>
      <c r="X193" s="45"/>
      <c r="Y193" s="45"/>
      <c r="Z193" s="45"/>
      <c r="AA193" s="48"/>
      <c r="AB193" s="47"/>
      <c r="AC193" s="47"/>
      <c r="AD193" s="47"/>
      <c r="AE193" s="47"/>
      <c r="AF193" s="124" t="n">
        <v>11</v>
      </c>
    </row>
    <row r="194" s="124" customFormat="true" ht="11.25" hidden="false" customHeight="true" outlineLevel="0" collapsed="false">
      <c r="A194" s="608"/>
      <c r="B194" s="49"/>
      <c r="C194" s="49"/>
      <c r="K194" s="45"/>
      <c r="L194" s="49"/>
      <c r="M194" s="49"/>
      <c r="N194" s="45"/>
      <c r="O194" s="45"/>
      <c r="P194" s="45"/>
      <c r="Q194" s="45"/>
      <c r="R194" s="49"/>
      <c r="S194" s="45"/>
      <c r="T194" s="45"/>
      <c r="U194" s="609"/>
      <c r="V194" s="45"/>
      <c r="W194" s="45"/>
      <c r="X194" s="45"/>
      <c r="Y194" s="45"/>
      <c r="Z194" s="45"/>
      <c r="AA194" s="48"/>
      <c r="AB194" s="47"/>
      <c r="AC194" s="47"/>
      <c r="AD194" s="47"/>
      <c r="AE194" s="47"/>
      <c r="AF194" s="124" t="n">
        <v>11</v>
      </c>
    </row>
    <row r="195" s="124" customFormat="true" ht="11.25" hidden="false" customHeight="true" outlineLevel="0" collapsed="false">
      <c r="A195" s="608"/>
      <c r="B195" s="49"/>
      <c r="C195" s="49"/>
      <c r="K195" s="45"/>
      <c r="L195" s="49"/>
      <c r="M195" s="49"/>
      <c r="N195" s="45"/>
      <c r="O195" s="45"/>
      <c r="P195" s="45"/>
      <c r="Q195" s="45"/>
      <c r="R195" s="49"/>
      <c r="S195" s="45"/>
      <c r="T195" s="45"/>
      <c r="U195" s="609"/>
      <c r="V195" s="45"/>
      <c r="W195" s="45"/>
      <c r="X195" s="45"/>
      <c r="Y195" s="45"/>
      <c r="Z195" s="45"/>
      <c r="AA195" s="48"/>
      <c r="AB195" s="47"/>
      <c r="AC195" s="47"/>
      <c r="AD195" s="47"/>
      <c r="AE195" s="47"/>
      <c r="AF195" s="124" t="n">
        <v>11</v>
      </c>
    </row>
    <row r="196" s="124" customFormat="true" ht="11.25" hidden="false" customHeight="true" outlineLevel="0" collapsed="false">
      <c r="A196" s="608"/>
      <c r="B196" s="49"/>
      <c r="C196" s="49"/>
      <c r="K196" s="45"/>
      <c r="L196" s="49"/>
      <c r="M196" s="49"/>
      <c r="N196" s="45"/>
      <c r="O196" s="45"/>
      <c r="P196" s="45"/>
      <c r="Q196" s="45"/>
      <c r="R196" s="49"/>
      <c r="S196" s="45"/>
      <c r="T196" s="45"/>
      <c r="U196" s="609"/>
      <c r="V196" s="45"/>
      <c r="W196" s="45"/>
      <c r="X196" s="45"/>
      <c r="Y196" s="45"/>
      <c r="Z196" s="45"/>
      <c r="AA196" s="48"/>
      <c r="AB196" s="47"/>
      <c r="AC196" s="47"/>
      <c r="AD196" s="47"/>
      <c r="AE196" s="47"/>
      <c r="AF196" s="124" t="n">
        <v>11</v>
      </c>
    </row>
    <row r="197" s="124" customFormat="true" ht="11.25" hidden="false" customHeight="true" outlineLevel="0" collapsed="false">
      <c r="A197" s="608"/>
      <c r="B197" s="49"/>
      <c r="C197" s="49"/>
      <c r="K197" s="45"/>
      <c r="L197" s="49"/>
      <c r="M197" s="49"/>
      <c r="N197" s="45"/>
      <c r="O197" s="45"/>
      <c r="P197" s="45"/>
      <c r="Q197" s="45"/>
      <c r="R197" s="49"/>
      <c r="S197" s="45"/>
      <c r="T197" s="45"/>
      <c r="U197" s="609"/>
      <c r="V197" s="45"/>
      <c r="W197" s="45"/>
      <c r="X197" s="45"/>
      <c r="Y197" s="45"/>
      <c r="Z197" s="45"/>
      <c r="AA197" s="48"/>
      <c r="AB197" s="47"/>
      <c r="AC197" s="47"/>
      <c r="AD197" s="47"/>
      <c r="AE197" s="47"/>
      <c r="AF197" s="124" t="n">
        <v>11</v>
      </c>
    </row>
    <row r="198" s="124" customFormat="true" ht="11.25" hidden="false" customHeight="true" outlineLevel="0" collapsed="false">
      <c r="A198" s="608"/>
      <c r="B198" s="49"/>
      <c r="C198" s="49"/>
      <c r="K198" s="45"/>
      <c r="L198" s="49"/>
      <c r="M198" s="49"/>
      <c r="N198" s="45"/>
      <c r="O198" s="45"/>
      <c r="P198" s="45"/>
      <c r="Q198" s="45"/>
      <c r="R198" s="49"/>
      <c r="S198" s="45"/>
      <c r="T198" s="45"/>
      <c r="U198" s="609"/>
      <c r="V198" s="45"/>
      <c r="W198" s="45"/>
      <c r="X198" s="45"/>
      <c r="Y198" s="45"/>
      <c r="Z198" s="45"/>
      <c r="AA198" s="48"/>
      <c r="AB198" s="47"/>
      <c r="AC198" s="47"/>
      <c r="AD198" s="47"/>
      <c r="AE198" s="47"/>
      <c r="AF198" s="124" t="n">
        <v>11</v>
      </c>
    </row>
    <row r="199" s="124" customFormat="true" ht="11.25" hidden="false" customHeight="true" outlineLevel="0" collapsed="false">
      <c r="A199" s="608"/>
      <c r="B199" s="49"/>
      <c r="C199" s="49"/>
      <c r="K199" s="45"/>
      <c r="L199" s="49"/>
      <c r="M199" s="49"/>
      <c r="N199" s="45"/>
      <c r="O199" s="45"/>
      <c r="P199" s="45"/>
      <c r="Q199" s="45"/>
      <c r="R199" s="49"/>
      <c r="S199" s="45"/>
      <c r="T199" s="45"/>
      <c r="U199" s="609"/>
      <c r="V199" s="45"/>
      <c r="W199" s="45"/>
      <c r="X199" s="45"/>
      <c r="Y199" s="45"/>
      <c r="Z199" s="45"/>
      <c r="AA199" s="48"/>
      <c r="AB199" s="47"/>
      <c r="AC199" s="47"/>
      <c r="AD199" s="47"/>
      <c r="AE199" s="47"/>
      <c r="AF199" s="124" t="n">
        <v>11</v>
      </c>
    </row>
    <row r="200" s="124" customFormat="true" ht="11.25" hidden="false" customHeight="true" outlineLevel="0" collapsed="false">
      <c r="A200" s="608"/>
      <c r="B200" s="49"/>
      <c r="C200" s="49"/>
      <c r="K200" s="45"/>
      <c r="L200" s="49"/>
      <c r="M200" s="49"/>
      <c r="N200" s="45"/>
      <c r="O200" s="45"/>
      <c r="P200" s="45"/>
      <c r="Q200" s="45"/>
      <c r="R200" s="49"/>
      <c r="S200" s="45"/>
      <c r="T200" s="45"/>
      <c r="U200" s="609"/>
      <c r="V200" s="45"/>
      <c r="W200" s="45"/>
      <c r="X200" s="45"/>
      <c r="Y200" s="45"/>
      <c r="Z200" s="45"/>
      <c r="AA200" s="48"/>
      <c r="AB200" s="47"/>
      <c r="AC200" s="47"/>
      <c r="AD200" s="47"/>
      <c r="AE200" s="47"/>
      <c r="AF200" s="124" t="n">
        <v>11</v>
      </c>
    </row>
    <row r="201" s="124" customFormat="true" ht="11.25" hidden="false" customHeight="true" outlineLevel="0" collapsed="false">
      <c r="A201" s="608"/>
      <c r="B201" s="49"/>
      <c r="C201" s="49"/>
      <c r="K201" s="45"/>
      <c r="L201" s="49"/>
      <c r="M201" s="49"/>
      <c r="N201" s="45"/>
      <c r="O201" s="45"/>
      <c r="P201" s="45"/>
      <c r="Q201" s="45"/>
      <c r="R201" s="49"/>
      <c r="S201" s="45"/>
      <c r="T201" s="45"/>
      <c r="U201" s="609"/>
      <c r="V201" s="45"/>
      <c r="W201" s="45"/>
      <c r="X201" s="45"/>
      <c r="Y201" s="45"/>
      <c r="Z201" s="45"/>
      <c r="AA201" s="48"/>
      <c r="AB201" s="47"/>
      <c r="AC201" s="47"/>
      <c r="AD201" s="47"/>
      <c r="AE201" s="47"/>
      <c r="AF201" s="124" t="n">
        <v>11</v>
      </c>
    </row>
    <row r="202" s="124" customFormat="true" ht="11.25" hidden="false" customHeight="true" outlineLevel="0" collapsed="false">
      <c r="A202" s="608"/>
      <c r="B202" s="49"/>
      <c r="C202" s="49"/>
      <c r="K202" s="45"/>
      <c r="L202" s="49"/>
      <c r="M202" s="49"/>
      <c r="N202" s="45"/>
      <c r="O202" s="45"/>
      <c r="P202" s="45"/>
      <c r="Q202" s="45"/>
      <c r="R202" s="49"/>
      <c r="S202" s="45"/>
      <c r="T202" s="45"/>
      <c r="U202" s="609"/>
      <c r="V202" s="45"/>
      <c r="W202" s="45"/>
      <c r="X202" s="45"/>
      <c r="Y202" s="45"/>
      <c r="Z202" s="45"/>
      <c r="AA202" s="48"/>
      <c r="AB202" s="47"/>
      <c r="AC202" s="47"/>
      <c r="AD202" s="47"/>
      <c r="AE202" s="47"/>
      <c r="AF202" s="124" t="n">
        <v>11</v>
      </c>
    </row>
    <row r="203" s="124" customFormat="true" ht="11.25" hidden="false" customHeight="true" outlineLevel="0" collapsed="false">
      <c r="A203" s="608"/>
      <c r="B203" s="49"/>
      <c r="C203" s="49"/>
      <c r="K203" s="45"/>
      <c r="L203" s="49"/>
      <c r="M203" s="49"/>
      <c r="N203" s="45"/>
      <c r="O203" s="45"/>
      <c r="P203" s="45"/>
      <c r="Q203" s="45"/>
      <c r="R203" s="49"/>
      <c r="S203" s="45"/>
      <c r="T203" s="45"/>
      <c r="U203" s="609"/>
      <c r="V203" s="45"/>
      <c r="W203" s="45"/>
      <c r="X203" s="45"/>
      <c r="Y203" s="45"/>
      <c r="Z203" s="45"/>
      <c r="AA203" s="48"/>
      <c r="AB203" s="47"/>
      <c r="AC203" s="47"/>
      <c r="AD203" s="47"/>
      <c r="AE203" s="47"/>
      <c r="AF203" s="124" t="n">
        <v>11</v>
      </c>
    </row>
    <row r="204" s="124" customFormat="true" ht="11.25" hidden="false" customHeight="true" outlineLevel="0" collapsed="false">
      <c r="A204" s="608"/>
      <c r="B204" s="49"/>
      <c r="C204" s="49"/>
      <c r="K204" s="45"/>
      <c r="L204" s="49"/>
      <c r="M204" s="49"/>
      <c r="N204" s="45"/>
      <c r="O204" s="45"/>
      <c r="P204" s="45"/>
      <c r="Q204" s="45"/>
      <c r="R204" s="49"/>
      <c r="S204" s="45"/>
      <c r="T204" s="45"/>
      <c r="U204" s="609"/>
      <c r="V204" s="45"/>
      <c r="W204" s="45"/>
      <c r="X204" s="45"/>
      <c r="Y204" s="45"/>
      <c r="Z204" s="45"/>
      <c r="AA204" s="48"/>
      <c r="AB204" s="47"/>
      <c r="AC204" s="47"/>
      <c r="AD204" s="47"/>
      <c r="AE204" s="47"/>
      <c r="AF204" s="124" t="n">
        <v>11</v>
      </c>
    </row>
    <row r="205" s="124" customFormat="true" ht="11.25" hidden="false" customHeight="true" outlineLevel="0" collapsed="false">
      <c r="A205" s="608"/>
      <c r="B205" s="49"/>
      <c r="C205" s="49"/>
      <c r="K205" s="45"/>
      <c r="L205" s="49"/>
      <c r="M205" s="49"/>
      <c r="N205" s="45"/>
      <c r="O205" s="45"/>
      <c r="P205" s="45"/>
      <c r="Q205" s="45"/>
      <c r="R205" s="49"/>
      <c r="S205" s="45"/>
      <c r="T205" s="45"/>
      <c r="U205" s="609"/>
      <c r="V205" s="45"/>
      <c r="W205" s="45"/>
      <c r="X205" s="45"/>
      <c r="Y205" s="45"/>
      <c r="Z205" s="45"/>
      <c r="AA205" s="48"/>
      <c r="AB205" s="47"/>
      <c r="AC205" s="47"/>
      <c r="AD205" s="47"/>
      <c r="AE205" s="47"/>
      <c r="AF205" s="124" t="n">
        <v>11</v>
      </c>
    </row>
    <row r="206" s="124" customFormat="true" ht="11.25" hidden="false" customHeight="true" outlineLevel="0" collapsed="false">
      <c r="A206" s="608"/>
      <c r="B206" s="49"/>
      <c r="C206" s="49"/>
      <c r="K206" s="45"/>
      <c r="L206" s="49"/>
      <c r="M206" s="49"/>
      <c r="N206" s="45"/>
      <c r="O206" s="45"/>
      <c r="P206" s="45"/>
      <c r="Q206" s="45"/>
      <c r="R206" s="49"/>
      <c r="S206" s="45"/>
      <c r="T206" s="45"/>
      <c r="U206" s="609"/>
      <c r="V206" s="45"/>
      <c r="W206" s="45"/>
      <c r="X206" s="45"/>
      <c r="Y206" s="45"/>
      <c r="Z206" s="45"/>
      <c r="AA206" s="48"/>
      <c r="AB206" s="47"/>
      <c r="AC206" s="47"/>
      <c r="AD206" s="47"/>
      <c r="AE206" s="47"/>
      <c r="AF206" s="124" t="n">
        <v>11</v>
      </c>
    </row>
    <row r="207" s="124" customFormat="true" ht="11.25" hidden="false" customHeight="true" outlineLevel="0" collapsed="false">
      <c r="A207" s="608"/>
      <c r="B207" s="49"/>
      <c r="C207" s="49"/>
      <c r="K207" s="45"/>
      <c r="L207" s="49"/>
      <c r="M207" s="49"/>
      <c r="N207" s="45"/>
      <c r="O207" s="45"/>
      <c r="P207" s="45"/>
      <c r="Q207" s="45"/>
      <c r="R207" s="49"/>
      <c r="S207" s="45"/>
      <c r="T207" s="45"/>
      <c r="U207" s="609"/>
      <c r="V207" s="45"/>
      <c r="W207" s="45"/>
      <c r="X207" s="45"/>
      <c r="Y207" s="45"/>
      <c r="Z207" s="45"/>
      <c r="AA207" s="48"/>
      <c r="AB207" s="47"/>
      <c r="AC207" s="47"/>
      <c r="AD207" s="47"/>
      <c r="AE207" s="47"/>
      <c r="AF207" s="124" t="n">
        <v>11</v>
      </c>
    </row>
    <row r="208" s="124" customFormat="true" ht="11.25" hidden="false" customHeight="true" outlineLevel="0" collapsed="false">
      <c r="A208" s="608"/>
      <c r="B208" s="49"/>
      <c r="C208" s="49"/>
      <c r="K208" s="45"/>
      <c r="L208" s="49"/>
      <c r="M208" s="49"/>
      <c r="N208" s="45"/>
      <c r="O208" s="45"/>
      <c r="P208" s="45"/>
      <c r="Q208" s="45"/>
      <c r="R208" s="49"/>
      <c r="S208" s="45"/>
      <c r="T208" s="45"/>
      <c r="U208" s="609"/>
      <c r="V208" s="45"/>
      <c r="W208" s="45"/>
      <c r="X208" s="45"/>
      <c r="Y208" s="45"/>
      <c r="Z208" s="45"/>
      <c r="AA208" s="48"/>
      <c r="AB208" s="47"/>
      <c r="AC208" s="47"/>
      <c r="AD208" s="47"/>
      <c r="AE208" s="47"/>
      <c r="AF208" s="124" t="n">
        <v>11</v>
      </c>
    </row>
    <row r="209" s="124" customFormat="true" ht="11.25" hidden="false" customHeight="true" outlineLevel="0" collapsed="false">
      <c r="A209" s="608"/>
      <c r="B209" s="49"/>
      <c r="C209" s="49"/>
      <c r="K209" s="45"/>
      <c r="L209" s="49"/>
      <c r="M209" s="49"/>
      <c r="N209" s="45"/>
      <c r="O209" s="45"/>
      <c r="P209" s="45"/>
      <c r="Q209" s="45"/>
      <c r="R209" s="49"/>
      <c r="S209" s="45"/>
      <c r="T209" s="45"/>
      <c r="U209" s="609"/>
      <c r="V209" s="45"/>
      <c r="W209" s="45"/>
      <c r="X209" s="45"/>
      <c r="Y209" s="45"/>
      <c r="Z209" s="45"/>
      <c r="AA209" s="48"/>
      <c r="AB209" s="47"/>
      <c r="AC209" s="47"/>
      <c r="AD209" s="47"/>
      <c r="AE209" s="47"/>
      <c r="AF209" s="124" t="n">
        <v>11</v>
      </c>
    </row>
    <row r="210" s="124" customFormat="true" ht="11.25" hidden="false" customHeight="true" outlineLevel="0" collapsed="false">
      <c r="A210" s="608"/>
      <c r="B210" s="49"/>
      <c r="C210" s="49"/>
      <c r="K210" s="45"/>
      <c r="L210" s="49"/>
      <c r="M210" s="49"/>
      <c r="N210" s="45"/>
      <c r="O210" s="45"/>
      <c r="P210" s="45"/>
      <c r="Q210" s="45"/>
      <c r="R210" s="49"/>
      <c r="S210" s="45"/>
      <c r="T210" s="45"/>
      <c r="U210" s="609"/>
      <c r="V210" s="45"/>
      <c r="W210" s="45"/>
      <c r="X210" s="45"/>
      <c r="Y210" s="45"/>
      <c r="Z210" s="45"/>
      <c r="AA210" s="48"/>
      <c r="AB210" s="47"/>
      <c r="AC210" s="47"/>
      <c r="AD210" s="47"/>
      <c r="AE210" s="47"/>
      <c r="AF210" s="124" t="n">
        <v>11</v>
      </c>
    </row>
    <row r="211" s="124" customFormat="true" ht="11.25" hidden="false" customHeight="true" outlineLevel="0" collapsed="false">
      <c r="A211" s="608"/>
      <c r="B211" s="49"/>
      <c r="C211" s="49"/>
      <c r="K211" s="45"/>
      <c r="L211" s="49"/>
      <c r="M211" s="49"/>
      <c r="N211" s="45"/>
      <c r="O211" s="45"/>
      <c r="P211" s="45"/>
      <c r="Q211" s="45"/>
      <c r="R211" s="49"/>
      <c r="S211" s="45"/>
      <c r="T211" s="45"/>
      <c r="U211" s="609"/>
      <c r="V211" s="45"/>
      <c r="W211" s="45"/>
      <c r="X211" s="45"/>
      <c r="Y211" s="45"/>
      <c r="Z211" s="45"/>
      <c r="AA211" s="48"/>
      <c r="AB211" s="47"/>
      <c r="AC211" s="47"/>
      <c r="AD211" s="47"/>
      <c r="AE211" s="47"/>
      <c r="AF211" s="124" t="n">
        <v>11</v>
      </c>
    </row>
    <row r="212" s="124" customFormat="true" ht="11.25" hidden="false" customHeight="true" outlineLevel="0" collapsed="false">
      <c r="A212" s="608"/>
      <c r="B212" s="49"/>
      <c r="C212" s="49"/>
      <c r="K212" s="45"/>
      <c r="L212" s="49"/>
      <c r="M212" s="49"/>
      <c r="N212" s="45"/>
      <c r="O212" s="45"/>
      <c r="P212" s="45"/>
      <c r="Q212" s="45"/>
      <c r="R212" s="49"/>
      <c r="S212" s="45"/>
      <c r="T212" s="45"/>
      <c r="U212" s="609"/>
      <c r="V212" s="45"/>
      <c r="W212" s="45"/>
      <c r="X212" s="45"/>
      <c r="Y212" s="45"/>
      <c r="Z212" s="45"/>
      <c r="AA212" s="48"/>
      <c r="AB212" s="47"/>
      <c r="AC212" s="47"/>
      <c r="AD212" s="47"/>
      <c r="AE212" s="47"/>
      <c r="AF212" s="124" t="n">
        <v>11</v>
      </c>
    </row>
    <row r="213" s="124" customFormat="true" ht="11.25" hidden="false" customHeight="true" outlineLevel="0" collapsed="false">
      <c r="A213" s="608"/>
      <c r="B213" s="49"/>
      <c r="C213" s="49"/>
      <c r="K213" s="45"/>
      <c r="L213" s="49"/>
      <c r="M213" s="49"/>
      <c r="N213" s="45"/>
      <c r="O213" s="45"/>
      <c r="P213" s="45"/>
      <c r="Q213" s="45"/>
      <c r="R213" s="49"/>
      <c r="S213" s="45"/>
      <c r="T213" s="45"/>
      <c r="U213" s="609"/>
      <c r="V213" s="45"/>
      <c r="W213" s="45"/>
      <c r="X213" s="45"/>
      <c r="Y213" s="45"/>
      <c r="Z213" s="45"/>
      <c r="AA213" s="48"/>
      <c r="AB213" s="47"/>
      <c r="AC213" s="47"/>
      <c r="AD213" s="47"/>
      <c r="AE213" s="47"/>
      <c r="AF213" s="124" t="n">
        <v>11</v>
      </c>
    </row>
    <row r="214" s="124" customFormat="true" ht="11.25" hidden="false" customHeight="true" outlineLevel="0" collapsed="false">
      <c r="A214" s="608"/>
      <c r="B214" s="49"/>
      <c r="C214" s="49"/>
      <c r="K214" s="45"/>
      <c r="L214" s="49"/>
      <c r="M214" s="49"/>
      <c r="N214" s="45"/>
      <c r="O214" s="45"/>
      <c r="P214" s="45"/>
      <c r="Q214" s="45"/>
      <c r="R214" s="49"/>
      <c r="S214" s="45"/>
      <c r="T214" s="45"/>
      <c r="U214" s="609"/>
      <c r="V214" s="45"/>
      <c r="W214" s="45"/>
      <c r="X214" s="45"/>
      <c r="Y214" s="45"/>
      <c r="Z214" s="45"/>
      <c r="AA214" s="48"/>
      <c r="AB214" s="47"/>
      <c r="AC214" s="47"/>
      <c r="AD214" s="47"/>
      <c r="AE214" s="47"/>
      <c r="AF214" s="124" t="n">
        <v>11</v>
      </c>
    </row>
    <row r="215" s="124" customFormat="true" ht="11.25" hidden="false" customHeight="true" outlineLevel="0" collapsed="false">
      <c r="A215" s="608"/>
      <c r="B215" s="49"/>
      <c r="C215" s="49"/>
      <c r="K215" s="45"/>
      <c r="L215" s="49"/>
      <c r="M215" s="49"/>
      <c r="N215" s="45"/>
      <c r="O215" s="45"/>
      <c r="P215" s="45"/>
      <c r="Q215" s="45"/>
      <c r="R215" s="49"/>
      <c r="S215" s="45"/>
      <c r="T215" s="45"/>
      <c r="U215" s="609"/>
      <c r="V215" s="45"/>
      <c r="W215" s="45"/>
      <c r="X215" s="45"/>
      <c r="Y215" s="45"/>
      <c r="Z215" s="45"/>
      <c r="AA215" s="48"/>
      <c r="AB215" s="47"/>
      <c r="AC215" s="47"/>
      <c r="AD215" s="47"/>
      <c r="AE215" s="47"/>
      <c r="AF215" s="124" t="n">
        <v>11</v>
      </c>
    </row>
    <row r="216" s="124" customFormat="true" ht="11.25" hidden="false" customHeight="true" outlineLevel="0" collapsed="false">
      <c r="A216" s="608"/>
      <c r="B216" s="49"/>
      <c r="C216" s="49"/>
      <c r="K216" s="45"/>
      <c r="L216" s="49"/>
      <c r="M216" s="49"/>
      <c r="N216" s="45"/>
      <c r="O216" s="45"/>
      <c r="P216" s="45"/>
      <c r="Q216" s="45"/>
      <c r="R216" s="49"/>
      <c r="S216" s="45"/>
      <c r="T216" s="45"/>
      <c r="U216" s="609"/>
      <c r="V216" s="45"/>
      <c r="W216" s="45"/>
      <c r="X216" s="45"/>
      <c r="Y216" s="45"/>
      <c r="Z216" s="45"/>
      <c r="AA216" s="48"/>
      <c r="AB216" s="47"/>
      <c r="AC216" s="47"/>
      <c r="AD216" s="47"/>
      <c r="AE216" s="47"/>
      <c r="AF216" s="124" t="n">
        <v>11</v>
      </c>
    </row>
    <row r="217" s="124" customFormat="true" ht="11.25" hidden="false" customHeight="true" outlineLevel="0" collapsed="false">
      <c r="A217" s="608"/>
      <c r="B217" s="49"/>
      <c r="C217" s="49"/>
      <c r="K217" s="45"/>
      <c r="L217" s="49"/>
      <c r="M217" s="49"/>
      <c r="N217" s="45"/>
      <c r="O217" s="45"/>
      <c r="P217" s="45"/>
      <c r="Q217" s="45"/>
      <c r="R217" s="49"/>
      <c r="S217" s="45"/>
      <c r="T217" s="45"/>
      <c r="U217" s="609"/>
      <c r="V217" s="45"/>
      <c r="W217" s="45"/>
      <c r="X217" s="45"/>
      <c r="Y217" s="45"/>
      <c r="Z217" s="45"/>
      <c r="AA217" s="48"/>
      <c r="AB217" s="47"/>
      <c r="AC217" s="47"/>
      <c r="AD217" s="47"/>
      <c r="AE217" s="47"/>
      <c r="AF217" s="124" t="n">
        <v>11</v>
      </c>
    </row>
    <row r="218" s="124" customFormat="true" ht="11.25" hidden="false" customHeight="true" outlineLevel="0" collapsed="false">
      <c r="A218" s="608"/>
      <c r="B218" s="49"/>
      <c r="C218" s="49"/>
      <c r="K218" s="45"/>
      <c r="L218" s="49"/>
      <c r="M218" s="49"/>
      <c r="N218" s="45"/>
      <c r="O218" s="45"/>
      <c r="P218" s="45"/>
      <c r="Q218" s="45"/>
      <c r="R218" s="49"/>
      <c r="S218" s="45"/>
      <c r="T218" s="45"/>
      <c r="U218" s="609"/>
      <c r="V218" s="45"/>
      <c r="W218" s="45"/>
      <c r="X218" s="45"/>
      <c r="Y218" s="45"/>
      <c r="Z218" s="45"/>
      <c r="AA218" s="48"/>
      <c r="AB218" s="47"/>
      <c r="AC218" s="47"/>
      <c r="AD218" s="47"/>
      <c r="AE218" s="47"/>
      <c r="AF218" s="124" t="n">
        <v>11</v>
      </c>
    </row>
    <row r="219" s="124" customFormat="true" ht="11.25" hidden="false" customHeight="true" outlineLevel="0" collapsed="false">
      <c r="A219" s="608"/>
      <c r="B219" s="49"/>
      <c r="C219" s="49"/>
      <c r="K219" s="45"/>
      <c r="L219" s="49"/>
      <c r="M219" s="49"/>
      <c r="N219" s="45"/>
      <c r="O219" s="45"/>
      <c r="P219" s="45"/>
      <c r="Q219" s="45"/>
      <c r="R219" s="49"/>
      <c r="S219" s="45"/>
      <c r="T219" s="45"/>
      <c r="U219" s="609"/>
      <c r="V219" s="45"/>
      <c r="W219" s="45"/>
      <c r="X219" s="45"/>
      <c r="Y219" s="45"/>
      <c r="Z219" s="45"/>
      <c r="AA219" s="48"/>
      <c r="AB219" s="47"/>
      <c r="AC219" s="47"/>
      <c r="AD219" s="47"/>
      <c r="AE219" s="47"/>
      <c r="AF219" s="124" t="n">
        <v>11</v>
      </c>
    </row>
    <row r="220" s="124" customFormat="true" ht="11.25" hidden="false" customHeight="true" outlineLevel="0" collapsed="false">
      <c r="A220" s="608"/>
      <c r="B220" s="49"/>
      <c r="C220" s="49"/>
      <c r="K220" s="45"/>
      <c r="L220" s="49"/>
      <c r="M220" s="49"/>
      <c r="N220" s="45"/>
      <c r="O220" s="45"/>
      <c r="P220" s="45"/>
      <c r="Q220" s="45"/>
      <c r="R220" s="49"/>
      <c r="S220" s="45"/>
      <c r="T220" s="45"/>
      <c r="U220" s="609"/>
      <c r="V220" s="45"/>
      <c r="W220" s="45"/>
      <c r="X220" s="45"/>
      <c r="Y220" s="45"/>
      <c r="Z220" s="45"/>
      <c r="AA220" s="48"/>
      <c r="AB220" s="47"/>
      <c r="AC220" s="47"/>
      <c r="AD220" s="47"/>
      <c r="AE220" s="47"/>
      <c r="AF220" s="124" t="n">
        <v>11</v>
      </c>
    </row>
    <row r="221" s="124" customFormat="true" ht="11.25" hidden="false" customHeight="true" outlineLevel="0" collapsed="false">
      <c r="A221" s="608"/>
      <c r="B221" s="49"/>
      <c r="C221" s="49"/>
      <c r="K221" s="45"/>
      <c r="L221" s="49"/>
      <c r="M221" s="49"/>
      <c r="N221" s="45"/>
      <c r="O221" s="45"/>
      <c r="P221" s="45"/>
      <c r="Q221" s="45"/>
      <c r="R221" s="49"/>
      <c r="S221" s="45"/>
      <c r="T221" s="45"/>
      <c r="U221" s="609"/>
      <c r="V221" s="45"/>
      <c r="W221" s="45"/>
      <c r="X221" s="45"/>
      <c r="Y221" s="45"/>
      <c r="Z221" s="45"/>
      <c r="AA221" s="48"/>
      <c r="AB221" s="47"/>
      <c r="AC221" s="47"/>
      <c r="AD221" s="47"/>
      <c r="AE221" s="47"/>
      <c r="AF221" s="124" t="n">
        <v>11</v>
      </c>
    </row>
    <row r="222" s="124" customFormat="true" ht="11.25" hidden="false" customHeight="true" outlineLevel="0" collapsed="false">
      <c r="A222" s="608"/>
      <c r="B222" s="49"/>
      <c r="C222" s="49"/>
      <c r="K222" s="45"/>
      <c r="L222" s="49"/>
      <c r="M222" s="49"/>
      <c r="N222" s="45"/>
      <c r="O222" s="45"/>
      <c r="P222" s="45"/>
      <c r="Q222" s="45"/>
      <c r="R222" s="49"/>
      <c r="S222" s="45"/>
      <c r="T222" s="45"/>
      <c r="U222" s="609"/>
      <c r="V222" s="45"/>
      <c r="W222" s="45"/>
      <c r="X222" s="45"/>
      <c r="Y222" s="45"/>
      <c r="Z222" s="45"/>
      <c r="AA222" s="48"/>
      <c r="AB222" s="47"/>
      <c r="AC222" s="47"/>
      <c r="AD222" s="47"/>
      <c r="AE222" s="47"/>
      <c r="AF222" s="124" t="n">
        <v>11</v>
      </c>
    </row>
    <row r="223" s="124" customFormat="true" ht="11.25" hidden="false" customHeight="true" outlineLevel="0" collapsed="false">
      <c r="A223" s="608"/>
      <c r="B223" s="49"/>
      <c r="C223" s="49"/>
      <c r="K223" s="45"/>
      <c r="L223" s="49"/>
      <c r="M223" s="49"/>
      <c r="N223" s="45"/>
      <c r="O223" s="45"/>
      <c r="P223" s="45"/>
      <c r="Q223" s="45"/>
      <c r="R223" s="49"/>
      <c r="S223" s="45"/>
      <c r="T223" s="45"/>
      <c r="U223" s="609"/>
      <c r="V223" s="45"/>
      <c r="W223" s="45"/>
      <c r="X223" s="45"/>
      <c r="Y223" s="45"/>
      <c r="Z223" s="45"/>
      <c r="AA223" s="48"/>
      <c r="AB223" s="47"/>
      <c r="AC223" s="47"/>
      <c r="AD223" s="47"/>
      <c r="AE223" s="47"/>
      <c r="AF223" s="124" t="n">
        <v>11</v>
      </c>
    </row>
    <row r="224" s="124" customFormat="true" ht="11.25" hidden="false" customHeight="true" outlineLevel="0" collapsed="false">
      <c r="A224" s="608"/>
      <c r="B224" s="49"/>
      <c r="C224" s="49"/>
      <c r="K224" s="45"/>
      <c r="L224" s="49"/>
      <c r="M224" s="49"/>
      <c r="N224" s="45"/>
      <c r="O224" s="45"/>
      <c r="P224" s="45"/>
      <c r="Q224" s="45"/>
      <c r="R224" s="49"/>
      <c r="S224" s="45"/>
      <c r="T224" s="45"/>
      <c r="U224" s="609"/>
      <c r="V224" s="45"/>
      <c r="W224" s="45"/>
      <c r="X224" s="45"/>
      <c r="Y224" s="45"/>
      <c r="Z224" s="45"/>
      <c r="AA224" s="48"/>
      <c r="AB224" s="47"/>
      <c r="AC224" s="47"/>
      <c r="AD224" s="47"/>
      <c r="AE224" s="47"/>
      <c r="AF224" s="124" t="n">
        <v>11</v>
      </c>
    </row>
    <row r="225" s="124" customFormat="true" ht="11.25" hidden="false" customHeight="true" outlineLevel="0" collapsed="false">
      <c r="A225" s="608"/>
      <c r="B225" s="49"/>
      <c r="C225" s="49"/>
      <c r="K225" s="45"/>
      <c r="L225" s="49"/>
      <c r="M225" s="49"/>
      <c r="N225" s="45"/>
      <c r="O225" s="45"/>
      <c r="P225" s="45"/>
      <c r="Q225" s="45"/>
      <c r="R225" s="49"/>
      <c r="S225" s="45"/>
      <c r="T225" s="45"/>
      <c r="U225" s="609"/>
      <c r="V225" s="45"/>
      <c r="W225" s="45"/>
      <c r="X225" s="45"/>
      <c r="Y225" s="45"/>
      <c r="Z225" s="45"/>
      <c r="AA225" s="48"/>
      <c r="AB225" s="47"/>
      <c r="AC225" s="47"/>
      <c r="AD225" s="47"/>
      <c r="AE225" s="47"/>
      <c r="AF225" s="124" t="n">
        <v>11</v>
      </c>
    </row>
    <row r="226" s="124" customFormat="true" ht="11.25" hidden="false" customHeight="true" outlineLevel="0" collapsed="false">
      <c r="A226" s="608"/>
      <c r="B226" s="49"/>
      <c r="C226" s="49"/>
      <c r="K226" s="45"/>
      <c r="L226" s="49"/>
      <c r="M226" s="49"/>
      <c r="N226" s="45"/>
      <c r="O226" s="45"/>
      <c r="P226" s="45"/>
      <c r="Q226" s="45"/>
      <c r="R226" s="49"/>
      <c r="S226" s="45"/>
      <c r="T226" s="45"/>
      <c r="U226" s="609"/>
      <c r="V226" s="45"/>
      <c r="W226" s="45"/>
      <c r="X226" s="45"/>
      <c r="Y226" s="45"/>
      <c r="Z226" s="45"/>
      <c r="AA226" s="48"/>
      <c r="AB226" s="47"/>
      <c r="AC226" s="47"/>
      <c r="AD226" s="47"/>
      <c r="AE226" s="47"/>
      <c r="AF226" s="124" t="n">
        <v>11</v>
      </c>
    </row>
    <row r="227" s="124" customFormat="true" ht="11.25" hidden="false" customHeight="true" outlineLevel="0" collapsed="false">
      <c r="A227" s="608"/>
      <c r="B227" s="49"/>
      <c r="C227" s="49"/>
      <c r="K227" s="45"/>
      <c r="L227" s="49"/>
      <c r="M227" s="49"/>
      <c r="N227" s="45"/>
      <c r="O227" s="45"/>
      <c r="P227" s="45"/>
      <c r="Q227" s="45"/>
      <c r="R227" s="49"/>
      <c r="S227" s="45"/>
      <c r="T227" s="45"/>
      <c r="U227" s="609"/>
      <c r="V227" s="45"/>
      <c r="W227" s="45"/>
      <c r="X227" s="45"/>
      <c r="Y227" s="45"/>
      <c r="Z227" s="45"/>
      <c r="AA227" s="48"/>
      <c r="AB227" s="47"/>
      <c r="AC227" s="47"/>
      <c r="AD227" s="47"/>
      <c r="AE227" s="47"/>
      <c r="AF227" s="124" t="n">
        <v>11</v>
      </c>
    </row>
    <row r="228" s="124" customFormat="true" ht="11.25" hidden="false" customHeight="true" outlineLevel="0" collapsed="false">
      <c r="A228" s="608"/>
      <c r="B228" s="49"/>
      <c r="C228" s="49"/>
      <c r="K228" s="45"/>
      <c r="L228" s="49"/>
      <c r="M228" s="49"/>
      <c r="N228" s="45"/>
      <c r="O228" s="45"/>
      <c r="P228" s="45"/>
      <c r="Q228" s="45"/>
      <c r="R228" s="49"/>
      <c r="S228" s="45"/>
      <c r="T228" s="45"/>
      <c r="U228" s="609"/>
      <c r="V228" s="45"/>
      <c r="W228" s="45"/>
      <c r="X228" s="45"/>
      <c r="Y228" s="45"/>
      <c r="Z228" s="45"/>
      <c r="AA228" s="48"/>
      <c r="AB228" s="47"/>
      <c r="AC228" s="47"/>
      <c r="AD228" s="47"/>
      <c r="AE228" s="47"/>
      <c r="AF228" s="124" t="n">
        <v>11</v>
      </c>
    </row>
    <row r="229" s="124" customFormat="true" ht="11.25" hidden="false" customHeight="true" outlineLevel="0" collapsed="false">
      <c r="A229" s="608"/>
      <c r="B229" s="49"/>
      <c r="C229" s="49"/>
      <c r="K229" s="45"/>
      <c r="L229" s="49"/>
      <c r="M229" s="49"/>
      <c r="N229" s="45"/>
      <c r="O229" s="45"/>
      <c r="P229" s="45"/>
      <c r="Q229" s="45"/>
      <c r="R229" s="49"/>
      <c r="S229" s="45"/>
      <c r="T229" s="45"/>
      <c r="U229" s="609"/>
      <c r="V229" s="45"/>
      <c r="W229" s="45"/>
      <c r="X229" s="45"/>
      <c r="Y229" s="45"/>
      <c r="Z229" s="45"/>
      <c r="AA229" s="48"/>
      <c r="AB229" s="47"/>
      <c r="AC229" s="47"/>
      <c r="AD229" s="47"/>
      <c r="AE229" s="47"/>
      <c r="AF229" s="124" t="n">
        <v>11</v>
      </c>
    </row>
    <row r="230" s="124" customFormat="true" ht="11.25" hidden="false" customHeight="true" outlineLevel="0" collapsed="false">
      <c r="A230" s="608"/>
      <c r="B230" s="49"/>
      <c r="C230" s="49"/>
      <c r="K230" s="45"/>
      <c r="L230" s="49"/>
      <c r="M230" s="49"/>
      <c r="N230" s="45"/>
      <c r="O230" s="45"/>
      <c r="P230" s="45"/>
      <c r="Q230" s="45"/>
      <c r="R230" s="49"/>
      <c r="S230" s="45"/>
      <c r="T230" s="45"/>
      <c r="U230" s="609"/>
      <c r="V230" s="45"/>
      <c r="W230" s="45"/>
      <c r="X230" s="45"/>
      <c r="Y230" s="45"/>
      <c r="Z230" s="45"/>
      <c r="AA230" s="48"/>
      <c r="AB230" s="47"/>
      <c r="AC230" s="47"/>
      <c r="AD230" s="47"/>
      <c r="AE230" s="47"/>
      <c r="AF230" s="124" t="n">
        <v>11</v>
      </c>
    </row>
    <row r="231" s="124" customFormat="true" ht="11.25" hidden="false" customHeight="true" outlineLevel="0" collapsed="false">
      <c r="A231" s="608"/>
      <c r="B231" s="49"/>
      <c r="C231" s="49"/>
      <c r="K231" s="45"/>
      <c r="L231" s="49"/>
      <c r="M231" s="49"/>
      <c r="N231" s="45"/>
      <c r="O231" s="45"/>
      <c r="P231" s="45"/>
      <c r="Q231" s="45"/>
      <c r="R231" s="49"/>
      <c r="S231" s="45"/>
      <c r="T231" s="45"/>
      <c r="U231" s="609"/>
      <c r="V231" s="45"/>
      <c r="W231" s="45"/>
      <c r="X231" s="45"/>
      <c r="Y231" s="45"/>
      <c r="Z231" s="45"/>
      <c r="AA231" s="48"/>
      <c r="AB231" s="47"/>
      <c r="AC231" s="47"/>
      <c r="AD231" s="47"/>
      <c r="AE231" s="47"/>
      <c r="AF231" s="124" t="n">
        <v>11</v>
      </c>
    </row>
    <row r="232" s="124" customFormat="true" ht="11.25" hidden="false" customHeight="true" outlineLevel="0" collapsed="false">
      <c r="A232" s="608"/>
      <c r="B232" s="49"/>
      <c r="C232" s="49"/>
      <c r="K232" s="45"/>
      <c r="L232" s="49"/>
      <c r="M232" s="49"/>
      <c r="N232" s="45"/>
      <c r="O232" s="45"/>
      <c r="P232" s="45"/>
      <c r="Q232" s="45"/>
      <c r="R232" s="49"/>
      <c r="S232" s="45"/>
      <c r="T232" s="45"/>
      <c r="U232" s="609"/>
      <c r="V232" s="45"/>
      <c r="W232" s="45"/>
      <c r="X232" s="45"/>
      <c r="Y232" s="45"/>
      <c r="Z232" s="45"/>
      <c r="AA232" s="48"/>
      <c r="AB232" s="47"/>
      <c r="AC232" s="47"/>
      <c r="AD232" s="47"/>
      <c r="AE232" s="47"/>
      <c r="AF232" s="124" t="n">
        <v>11</v>
      </c>
    </row>
    <row r="233" s="124" customFormat="true" ht="11.25" hidden="false" customHeight="true" outlineLevel="0" collapsed="false">
      <c r="A233" s="608"/>
      <c r="B233" s="49"/>
      <c r="C233" s="49"/>
      <c r="K233" s="45"/>
      <c r="L233" s="49"/>
      <c r="M233" s="49"/>
      <c r="N233" s="45"/>
      <c r="O233" s="45"/>
      <c r="P233" s="45"/>
      <c r="Q233" s="45"/>
      <c r="R233" s="49"/>
      <c r="S233" s="45"/>
      <c r="T233" s="45"/>
      <c r="U233" s="609"/>
      <c r="V233" s="45"/>
      <c r="W233" s="45"/>
      <c r="X233" s="45"/>
      <c r="Y233" s="45"/>
      <c r="Z233" s="45"/>
      <c r="AA233" s="48"/>
      <c r="AB233" s="47"/>
      <c r="AC233" s="47"/>
      <c r="AD233" s="47"/>
      <c r="AE233" s="47"/>
      <c r="AF233" s="124" t="n">
        <v>11</v>
      </c>
    </row>
    <row r="234" s="124" customFormat="true" ht="11.25" hidden="false" customHeight="true" outlineLevel="0" collapsed="false">
      <c r="A234" s="608"/>
      <c r="B234" s="49"/>
      <c r="C234" s="49"/>
      <c r="K234" s="45"/>
      <c r="L234" s="49"/>
      <c r="M234" s="49"/>
      <c r="N234" s="45"/>
      <c r="O234" s="45"/>
      <c r="P234" s="45"/>
      <c r="Q234" s="45"/>
      <c r="R234" s="49"/>
      <c r="S234" s="45"/>
      <c r="T234" s="45"/>
      <c r="U234" s="609"/>
      <c r="V234" s="45"/>
      <c r="W234" s="45"/>
      <c r="X234" s="45"/>
      <c r="Y234" s="45"/>
      <c r="Z234" s="45"/>
      <c r="AA234" s="48"/>
      <c r="AB234" s="47"/>
      <c r="AC234" s="47"/>
      <c r="AD234" s="47"/>
      <c r="AE234" s="47"/>
      <c r="AF234" s="124" t="n">
        <v>11</v>
      </c>
    </row>
    <row r="235" s="124" customFormat="true" ht="11.25" hidden="false" customHeight="true" outlineLevel="0" collapsed="false">
      <c r="A235" s="608"/>
      <c r="B235" s="49"/>
      <c r="C235" s="49"/>
      <c r="K235" s="45"/>
      <c r="L235" s="49"/>
      <c r="M235" s="49"/>
      <c r="N235" s="45"/>
      <c r="O235" s="45"/>
      <c r="P235" s="45"/>
      <c r="Q235" s="45"/>
      <c r="R235" s="49"/>
      <c r="S235" s="45"/>
      <c r="T235" s="45"/>
      <c r="U235" s="609"/>
      <c r="V235" s="45"/>
      <c r="W235" s="45"/>
      <c r="X235" s="45"/>
      <c r="Y235" s="45"/>
      <c r="Z235" s="45"/>
      <c r="AA235" s="48"/>
      <c r="AB235" s="47"/>
      <c r="AC235" s="47"/>
      <c r="AD235" s="47"/>
      <c r="AE235" s="47"/>
      <c r="AF235" s="124" t="n">
        <v>11</v>
      </c>
    </row>
    <row r="236" s="124" customFormat="true" ht="11.25" hidden="false" customHeight="true" outlineLevel="0" collapsed="false">
      <c r="A236" s="608"/>
      <c r="B236" s="49"/>
      <c r="C236" s="49"/>
      <c r="K236" s="45"/>
      <c r="L236" s="49"/>
      <c r="M236" s="49"/>
      <c r="N236" s="45"/>
      <c r="O236" s="45"/>
      <c r="P236" s="45"/>
      <c r="Q236" s="45"/>
      <c r="R236" s="49"/>
      <c r="S236" s="45"/>
      <c r="T236" s="45"/>
      <c r="U236" s="609"/>
      <c r="V236" s="45"/>
      <c r="W236" s="45"/>
      <c r="X236" s="45"/>
      <c r="Y236" s="45"/>
      <c r="Z236" s="45"/>
      <c r="AA236" s="48"/>
      <c r="AB236" s="47"/>
      <c r="AC236" s="47"/>
      <c r="AD236" s="47"/>
      <c r="AE236" s="47"/>
      <c r="AF236" s="124" t="n">
        <v>11</v>
      </c>
    </row>
    <row r="237" s="124" customFormat="true" ht="11.25" hidden="false" customHeight="true" outlineLevel="0" collapsed="false">
      <c r="A237" s="608"/>
      <c r="B237" s="49"/>
      <c r="C237" s="49"/>
      <c r="K237" s="45"/>
      <c r="L237" s="49"/>
      <c r="M237" s="49"/>
      <c r="N237" s="45"/>
      <c r="O237" s="45"/>
      <c r="P237" s="45"/>
      <c r="Q237" s="45"/>
      <c r="R237" s="49"/>
      <c r="S237" s="45"/>
      <c r="T237" s="45"/>
      <c r="U237" s="609"/>
      <c r="V237" s="45"/>
      <c r="W237" s="45"/>
      <c r="X237" s="45"/>
      <c r="Y237" s="45"/>
      <c r="Z237" s="45"/>
      <c r="AA237" s="48"/>
      <c r="AB237" s="47"/>
      <c r="AC237" s="47"/>
      <c r="AD237" s="47"/>
      <c r="AE237" s="47"/>
      <c r="AF237" s="124" t="n">
        <v>11</v>
      </c>
    </row>
    <row r="238" s="124" customFormat="true" ht="11.25" hidden="false" customHeight="true" outlineLevel="0" collapsed="false">
      <c r="A238" s="608"/>
      <c r="B238" s="49"/>
      <c r="C238" s="49"/>
      <c r="K238" s="45"/>
      <c r="L238" s="49"/>
      <c r="M238" s="49"/>
      <c r="N238" s="45"/>
      <c r="O238" s="45"/>
      <c r="P238" s="45"/>
      <c r="Q238" s="45"/>
      <c r="R238" s="49"/>
      <c r="S238" s="45"/>
      <c r="T238" s="45"/>
      <c r="U238" s="609"/>
      <c r="V238" s="45"/>
      <c r="W238" s="45"/>
      <c r="X238" s="45"/>
      <c r="Y238" s="45"/>
      <c r="Z238" s="45"/>
      <c r="AA238" s="48"/>
      <c r="AB238" s="47"/>
      <c r="AC238" s="47"/>
      <c r="AD238" s="47"/>
      <c r="AE238" s="47"/>
      <c r="AF238" s="124" t="n">
        <v>11</v>
      </c>
    </row>
    <row r="239" s="124" customFormat="true" ht="11.25" hidden="false" customHeight="true" outlineLevel="0" collapsed="false">
      <c r="A239" s="608"/>
      <c r="B239" s="49"/>
      <c r="C239" s="49"/>
      <c r="K239" s="45"/>
      <c r="L239" s="49"/>
      <c r="M239" s="49"/>
      <c r="N239" s="45"/>
      <c r="O239" s="45"/>
      <c r="P239" s="45"/>
      <c r="Q239" s="45"/>
      <c r="R239" s="49"/>
      <c r="S239" s="45"/>
      <c r="T239" s="45"/>
      <c r="U239" s="609"/>
      <c r="V239" s="45"/>
      <c r="W239" s="45"/>
      <c r="X239" s="45"/>
      <c r="Y239" s="45"/>
      <c r="Z239" s="45"/>
      <c r="AA239" s="48"/>
      <c r="AB239" s="47"/>
      <c r="AC239" s="47"/>
      <c r="AD239" s="47"/>
      <c r="AE239" s="47"/>
      <c r="AF239" s="124" t="n">
        <v>11</v>
      </c>
    </row>
    <row r="240" s="124" customFormat="true" ht="11.25" hidden="false" customHeight="true" outlineLevel="0" collapsed="false">
      <c r="A240" s="608"/>
      <c r="B240" s="49"/>
      <c r="C240" s="49"/>
      <c r="K240" s="45"/>
      <c r="L240" s="49"/>
      <c r="M240" s="49"/>
      <c r="N240" s="45"/>
      <c r="O240" s="45"/>
      <c r="P240" s="45"/>
      <c r="Q240" s="45"/>
      <c r="R240" s="49"/>
      <c r="S240" s="45"/>
      <c r="T240" s="45"/>
      <c r="U240" s="609"/>
      <c r="V240" s="45"/>
      <c r="W240" s="45"/>
      <c r="X240" s="45"/>
      <c r="Y240" s="45"/>
      <c r="Z240" s="45"/>
      <c r="AA240" s="48"/>
      <c r="AB240" s="47"/>
      <c r="AC240" s="47"/>
      <c r="AD240" s="47"/>
      <c r="AE240" s="47"/>
      <c r="AF240" s="124" t="n">
        <v>11</v>
      </c>
    </row>
    <row r="241" s="124" customFormat="true" ht="11.25" hidden="false" customHeight="true" outlineLevel="0" collapsed="false">
      <c r="A241" s="608"/>
      <c r="B241" s="49"/>
      <c r="C241" s="49"/>
      <c r="K241" s="45"/>
      <c r="L241" s="49"/>
      <c r="M241" s="49"/>
      <c r="N241" s="45"/>
      <c r="O241" s="45"/>
      <c r="P241" s="45"/>
      <c r="Q241" s="45"/>
      <c r="R241" s="49"/>
      <c r="S241" s="45"/>
      <c r="T241" s="45"/>
      <c r="U241" s="609"/>
      <c r="V241" s="45"/>
      <c r="W241" s="45"/>
      <c r="X241" s="45"/>
      <c r="Y241" s="45"/>
      <c r="Z241" s="45"/>
      <c r="AA241" s="48"/>
      <c r="AB241" s="47"/>
      <c r="AC241" s="47"/>
      <c r="AD241" s="47"/>
      <c r="AE241" s="47"/>
      <c r="AF241" s="124" t="n">
        <v>11</v>
      </c>
    </row>
    <row r="242" s="124" customFormat="true" ht="11.25" hidden="false" customHeight="true" outlineLevel="0" collapsed="false">
      <c r="A242" s="608"/>
      <c r="B242" s="49"/>
      <c r="C242" s="49"/>
      <c r="K242" s="45"/>
      <c r="L242" s="49"/>
      <c r="M242" s="49"/>
      <c r="N242" s="45"/>
      <c r="O242" s="45"/>
      <c r="P242" s="45"/>
      <c r="Q242" s="45"/>
      <c r="R242" s="49"/>
      <c r="S242" s="45"/>
      <c r="T242" s="45"/>
      <c r="U242" s="609"/>
      <c r="V242" s="45"/>
      <c r="W242" s="45"/>
      <c r="X242" s="45"/>
      <c r="Y242" s="45"/>
      <c r="Z242" s="45"/>
      <c r="AA242" s="48"/>
      <c r="AB242" s="47"/>
      <c r="AC242" s="47"/>
      <c r="AD242" s="47"/>
      <c r="AE242" s="47"/>
      <c r="AF242" s="124" t="n">
        <v>11</v>
      </c>
    </row>
    <row r="243" s="124" customFormat="true" ht="11.25" hidden="false" customHeight="true" outlineLevel="0" collapsed="false">
      <c r="A243" s="608"/>
      <c r="B243" s="49"/>
      <c r="C243" s="49"/>
      <c r="K243" s="45"/>
      <c r="L243" s="49"/>
      <c r="M243" s="49"/>
      <c r="N243" s="45"/>
      <c r="O243" s="45"/>
      <c r="P243" s="45"/>
      <c r="Q243" s="45"/>
      <c r="R243" s="49"/>
      <c r="S243" s="45"/>
      <c r="T243" s="45"/>
      <c r="U243" s="609"/>
      <c r="V243" s="45"/>
      <c r="W243" s="45"/>
      <c r="X243" s="45"/>
      <c r="Y243" s="45"/>
      <c r="Z243" s="45"/>
      <c r="AA243" s="48"/>
      <c r="AB243" s="47"/>
      <c r="AC243" s="47"/>
      <c r="AD243" s="47"/>
      <c r="AE243" s="47"/>
      <c r="AF243" s="124" t="n">
        <v>11</v>
      </c>
    </row>
    <row r="244" s="124" customFormat="true" ht="11.25" hidden="false" customHeight="true" outlineLevel="0" collapsed="false">
      <c r="A244" s="608"/>
      <c r="B244" s="49"/>
      <c r="C244" s="49"/>
      <c r="K244" s="45"/>
      <c r="L244" s="49"/>
      <c r="M244" s="49"/>
      <c r="N244" s="45"/>
      <c r="O244" s="45"/>
      <c r="P244" s="45"/>
      <c r="Q244" s="45"/>
      <c r="R244" s="49"/>
      <c r="S244" s="45"/>
      <c r="T244" s="45"/>
      <c r="U244" s="609"/>
      <c r="V244" s="45"/>
      <c r="W244" s="45"/>
      <c r="X244" s="45"/>
      <c r="Y244" s="45"/>
      <c r="Z244" s="45"/>
      <c r="AA244" s="48"/>
      <c r="AB244" s="47"/>
      <c r="AC244" s="47"/>
      <c r="AD244" s="47"/>
      <c r="AE244" s="47"/>
      <c r="AF244" s="124" t="n">
        <v>11</v>
      </c>
    </row>
    <row r="245" s="124" customFormat="true" ht="11.25" hidden="false" customHeight="true" outlineLevel="0" collapsed="false">
      <c r="A245" s="608"/>
      <c r="B245" s="49"/>
      <c r="C245" s="49"/>
      <c r="K245" s="45"/>
      <c r="L245" s="49"/>
      <c r="M245" s="49"/>
      <c r="N245" s="45"/>
      <c r="O245" s="45"/>
      <c r="P245" s="45"/>
      <c r="Q245" s="45"/>
      <c r="R245" s="49"/>
      <c r="S245" s="45"/>
      <c r="T245" s="45"/>
      <c r="U245" s="609"/>
      <c r="V245" s="45"/>
      <c r="W245" s="45"/>
      <c r="X245" s="45"/>
      <c r="Y245" s="45"/>
      <c r="Z245" s="45"/>
      <c r="AA245" s="48"/>
      <c r="AB245" s="47"/>
      <c r="AC245" s="47"/>
      <c r="AD245" s="47"/>
      <c r="AE245" s="47"/>
      <c r="AF245" s="124" t="n">
        <v>11</v>
      </c>
    </row>
    <row r="246" s="124" customFormat="true" ht="11.25" hidden="false" customHeight="true" outlineLevel="0" collapsed="false">
      <c r="A246" s="608"/>
      <c r="B246" s="49"/>
      <c r="C246" s="49"/>
      <c r="K246" s="45"/>
      <c r="L246" s="49"/>
      <c r="M246" s="49"/>
      <c r="N246" s="45"/>
      <c r="O246" s="45"/>
      <c r="P246" s="45"/>
      <c r="Q246" s="45"/>
      <c r="R246" s="49"/>
      <c r="S246" s="45"/>
      <c r="T246" s="45"/>
      <c r="U246" s="609"/>
      <c r="V246" s="45"/>
      <c r="W246" s="45"/>
      <c r="X246" s="45"/>
      <c r="Y246" s="45"/>
      <c r="Z246" s="45"/>
      <c r="AA246" s="48"/>
      <c r="AB246" s="47"/>
      <c r="AC246" s="47"/>
      <c r="AD246" s="47"/>
      <c r="AE246" s="47"/>
      <c r="AF246" s="124" t="n">
        <v>11</v>
      </c>
    </row>
    <row r="247" s="124" customFormat="true" ht="11.25" hidden="false" customHeight="true" outlineLevel="0" collapsed="false">
      <c r="A247" s="608"/>
      <c r="B247" s="49"/>
      <c r="C247" s="49"/>
      <c r="K247" s="45"/>
      <c r="L247" s="49"/>
      <c r="M247" s="49"/>
      <c r="N247" s="45"/>
      <c r="O247" s="45"/>
      <c r="P247" s="45"/>
      <c r="Q247" s="45"/>
      <c r="R247" s="49"/>
      <c r="S247" s="45"/>
      <c r="T247" s="45"/>
      <c r="U247" s="609"/>
      <c r="V247" s="45"/>
      <c r="W247" s="45"/>
      <c r="X247" s="45"/>
      <c r="Y247" s="45"/>
      <c r="Z247" s="45"/>
      <c r="AA247" s="48"/>
      <c r="AB247" s="47"/>
      <c r="AC247" s="47"/>
      <c r="AD247" s="47"/>
      <c r="AE247" s="47"/>
      <c r="AF247" s="124" t="n">
        <v>11</v>
      </c>
    </row>
    <row r="248" s="124" customFormat="true" ht="11.25" hidden="false" customHeight="true" outlineLevel="0" collapsed="false">
      <c r="A248" s="608"/>
      <c r="B248" s="49"/>
      <c r="C248" s="49"/>
      <c r="K248" s="45"/>
      <c r="L248" s="49"/>
      <c r="M248" s="49"/>
      <c r="N248" s="45"/>
      <c r="O248" s="45"/>
      <c r="P248" s="45"/>
      <c r="Q248" s="45"/>
      <c r="R248" s="49"/>
      <c r="S248" s="45"/>
      <c r="T248" s="45"/>
      <c r="U248" s="609"/>
      <c r="V248" s="45"/>
      <c r="W248" s="45"/>
      <c r="X248" s="45"/>
      <c r="Y248" s="45"/>
      <c r="Z248" s="45"/>
      <c r="AA248" s="48"/>
      <c r="AB248" s="47"/>
      <c r="AC248" s="47"/>
      <c r="AD248" s="47"/>
      <c r="AE248" s="47"/>
      <c r="AF248" s="124" t="n">
        <v>11</v>
      </c>
    </row>
    <row r="249" s="124" customFormat="true" ht="11.25" hidden="false" customHeight="true" outlineLevel="0" collapsed="false">
      <c r="A249" s="608"/>
      <c r="B249" s="49"/>
      <c r="C249" s="49"/>
      <c r="K249" s="45"/>
      <c r="L249" s="49"/>
      <c r="M249" s="49"/>
      <c r="N249" s="45"/>
      <c r="O249" s="45"/>
      <c r="P249" s="45"/>
      <c r="Q249" s="45"/>
      <c r="R249" s="49"/>
      <c r="S249" s="45"/>
      <c r="T249" s="45"/>
      <c r="U249" s="609"/>
      <c r="V249" s="45"/>
      <c r="W249" s="45"/>
      <c r="X249" s="45"/>
      <c r="Y249" s="45"/>
      <c r="Z249" s="45"/>
      <c r="AA249" s="48"/>
      <c r="AB249" s="47"/>
      <c r="AC249" s="47"/>
      <c r="AD249" s="47"/>
      <c r="AE249" s="47"/>
      <c r="AF249" s="124" t="n">
        <v>11</v>
      </c>
    </row>
    <row r="250" s="124" customFormat="true" ht="11.25" hidden="false" customHeight="true" outlineLevel="0" collapsed="false">
      <c r="A250" s="608"/>
      <c r="B250" s="49"/>
      <c r="C250" s="49"/>
      <c r="K250" s="45"/>
      <c r="L250" s="49"/>
      <c r="M250" s="49"/>
      <c r="N250" s="45"/>
      <c r="O250" s="45"/>
      <c r="P250" s="45"/>
      <c r="Q250" s="45"/>
      <c r="R250" s="49"/>
      <c r="S250" s="45"/>
      <c r="T250" s="45"/>
      <c r="U250" s="609"/>
      <c r="V250" s="45"/>
      <c r="W250" s="45"/>
      <c r="X250" s="45"/>
      <c r="Y250" s="45"/>
      <c r="Z250" s="45"/>
      <c r="AA250" s="48"/>
      <c r="AB250" s="47"/>
      <c r="AC250" s="47"/>
      <c r="AD250" s="47"/>
      <c r="AE250" s="47"/>
      <c r="AF250" s="124" t="n">
        <v>11</v>
      </c>
    </row>
    <row r="251" s="124" customFormat="true" ht="11.25" hidden="false" customHeight="true" outlineLevel="0" collapsed="false">
      <c r="A251" s="608"/>
      <c r="B251" s="49"/>
      <c r="C251" s="49"/>
      <c r="K251" s="45"/>
      <c r="L251" s="49"/>
      <c r="M251" s="49"/>
      <c r="N251" s="45"/>
      <c r="O251" s="45"/>
      <c r="P251" s="45"/>
      <c r="Q251" s="45"/>
      <c r="R251" s="49"/>
      <c r="S251" s="45"/>
      <c r="T251" s="45"/>
      <c r="U251" s="609"/>
      <c r="V251" s="45"/>
      <c r="W251" s="45"/>
      <c r="X251" s="45"/>
      <c r="Y251" s="45"/>
      <c r="Z251" s="45"/>
      <c r="AA251" s="48"/>
      <c r="AB251" s="47"/>
      <c r="AC251" s="47"/>
      <c r="AD251" s="47"/>
      <c r="AE251" s="47"/>
      <c r="AF251" s="124" t="n">
        <v>11</v>
      </c>
    </row>
    <row r="252" s="124" customFormat="true" ht="11.25" hidden="false" customHeight="true" outlineLevel="0" collapsed="false">
      <c r="A252" s="608"/>
      <c r="B252" s="49"/>
      <c r="C252" s="49"/>
      <c r="K252" s="45"/>
      <c r="L252" s="49"/>
      <c r="M252" s="49"/>
      <c r="N252" s="45"/>
      <c r="O252" s="45"/>
      <c r="P252" s="45"/>
      <c r="Q252" s="45"/>
      <c r="R252" s="49"/>
      <c r="S252" s="45"/>
      <c r="T252" s="45"/>
      <c r="U252" s="609"/>
      <c r="V252" s="45"/>
      <c r="W252" s="45"/>
      <c r="X252" s="45"/>
      <c r="Y252" s="45"/>
      <c r="Z252" s="45"/>
      <c r="AA252" s="48"/>
      <c r="AB252" s="47"/>
      <c r="AC252" s="47"/>
      <c r="AD252" s="47"/>
      <c r="AE252" s="47"/>
      <c r="AF252" s="124" t="n">
        <v>11</v>
      </c>
    </row>
    <row r="253" s="124" customFormat="true" ht="11.25" hidden="false" customHeight="true" outlineLevel="0" collapsed="false">
      <c r="A253" s="608"/>
      <c r="B253" s="49"/>
      <c r="C253" s="49"/>
      <c r="K253" s="45"/>
      <c r="L253" s="49"/>
      <c r="M253" s="49"/>
      <c r="N253" s="45"/>
      <c r="O253" s="45"/>
      <c r="P253" s="45"/>
      <c r="Q253" s="45"/>
      <c r="R253" s="49"/>
      <c r="S253" s="45"/>
      <c r="T253" s="45"/>
      <c r="U253" s="609"/>
      <c r="V253" s="45"/>
      <c r="W253" s="45"/>
      <c r="X253" s="45"/>
      <c r="Y253" s="45"/>
      <c r="Z253" s="45"/>
      <c r="AA253" s="48"/>
      <c r="AB253" s="47"/>
      <c r="AC253" s="47"/>
      <c r="AD253" s="47"/>
      <c r="AE253" s="47"/>
      <c r="AF253" s="124" t="n">
        <v>11</v>
      </c>
    </row>
    <row r="254" s="124" customFormat="true" ht="11.25" hidden="false" customHeight="true" outlineLevel="0" collapsed="false">
      <c r="A254" s="608"/>
      <c r="B254" s="49"/>
      <c r="C254" s="49"/>
      <c r="K254" s="45"/>
      <c r="L254" s="49"/>
      <c r="M254" s="49"/>
      <c r="N254" s="45"/>
      <c r="O254" s="45"/>
      <c r="P254" s="45"/>
      <c r="Q254" s="45"/>
      <c r="R254" s="49"/>
      <c r="S254" s="45"/>
      <c r="T254" s="45"/>
      <c r="U254" s="609"/>
      <c r="V254" s="45"/>
      <c r="W254" s="45"/>
      <c r="X254" s="45"/>
      <c r="Y254" s="45"/>
      <c r="Z254" s="45"/>
      <c r="AA254" s="48"/>
      <c r="AB254" s="47"/>
      <c r="AC254" s="47"/>
      <c r="AD254" s="47"/>
      <c r="AE254" s="47"/>
      <c r="AF254" s="124" t="n">
        <v>11</v>
      </c>
    </row>
    <row r="255" s="124" customFormat="true" ht="11.25" hidden="false" customHeight="true" outlineLevel="0" collapsed="false">
      <c r="A255" s="608"/>
      <c r="B255" s="49"/>
      <c r="C255" s="49"/>
      <c r="K255" s="45"/>
      <c r="L255" s="49"/>
      <c r="M255" s="49"/>
      <c r="N255" s="45"/>
      <c r="O255" s="45"/>
      <c r="P255" s="45"/>
      <c r="Q255" s="45"/>
      <c r="R255" s="49"/>
      <c r="S255" s="45"/>
      <c r="T255" s="45"/>
      <c r="U255" s="609"/>
      <c r="V255" s="45"/>
      <c r="W255" s="45"/>
      <c r="X255" s="45"/>
      <c r="Y255" s="45"/>
      <c r="Z255" s="45"/>
      <c r="AA255" s="48"/>
      <c r="AB255" s="47"/>
      <c r="AC255" s="47"/>
      <c r="AD255" s="47"/>
      <c r="AE255" s="47"/>
      <c r="AF255" s="124" t="n">
        <v>11</v>
      </c>
    </row>
    <row r="256" s="124" customFormat="true" ht="11.25" hidden="false" customHeight="true" outlineLevel="0" collapsed="false">
      <c r="A256" s="608"/>
      <c r="B256" s="49"/>
      <c r="C256" s="49"/>
      <c r="K256" s="45"/>
      <c r="L256" s="49"/>
      <c r="M256" s="49"/>
      <c r="N256" s="45"/>
      <c r="O256" s="45"/>
      <c r="P256" s="45"/>
      <c r="Q256" s="45"/>
      <c r="R256" s="49"/>
      <c r="S256" s="45"/>
      <c r="T256" s="45"/>
      <c r="U256" s="609"/>
      <c r="V256" s="45"/>
      <c r="W256" s="45"/>
      <c r="X256" s="45"/>
      <c r="Y256" s="45"/>
      <c r="Z256" s="45"/>
      <c r="AA256" s="48"/>
      <c r="AB256" s="47"/>
      <c r="AC256" s="47"/>
      <c r="AD256" s="47"/>
      <c r="AE256" s="47"/>
      <c r="AF256" s="124" t="n">
        <v>11</v>
      </c>
    </row>
    <row r="257" s="124" customFormat="true" ht="11.25" hidden="false" customHeight="true" outlineLevel="0" collapsed="false">
      <c r="A257" s="608"/>
      <c r="B257" s="49"/>
      <c r="C257" s="49"/>
      <c r="K257" s="45"/>
      <c r="L257" s="49"/>
      <c r="M257" s="49"/>
      <c r="N257" s="45"/>
      <c r="O257" s="45"/>
      <c r="P257" s="45"/>
      <c r="Q257" s="45"/>
      <c r="R257" s="49"/>
      <c r="S257" s="45"/>
      <c r="T257" s="45"/>
      <c r="U257" s="609"/>
      <c r="V257" s="45"/>
      <c r="W257" s="45"/>
      <c r="X257" s="45"/>
      <c r="Y257" s="45"/>
      <c r="Z257" s="45"/>
      <c r="AA257" s="48"/>
      <c r="AB257" s="47"/>
      <c r="AC257" s="47"/>
      <c r="AD257" s="47"/>
      <c r="AE257" s="47"/>
      <c r="AF257" s="124" t="n">
        <v>11</v>
      </c>
    </row>
    <row r="258" s="124" customFormat="true" ht="11.25" hidden="false" customHeight="true" outlineLevel="0" collapsed="false">
      <c r="A258" s="608"/>
      <c r="B258" s="49"/>
      <c r="C258" s="49"/>
      <c r="K258" s="45"/>
      <c r="L258" s="49"/>
      <c r="M258" s="49"/>
      <c r="N258" s="45"/>
      <c r="O258" s="45"/>
      <c r="P258" s="45"/>
      <c r="Q258" s="45"/>
      <c r="R258" s="49"/>
      <c r="S258" s="45"/>
      <c r="T258" s="45"/>
      <c r="U258" s="609"/>
      <c r="V258" s="45"/>
      <c r="W258" s="45"/>
      <c r="X258" s="45"/>
      <c r="Y258" s="45"/>
      <c r="Z258" s="45"/>
      <c r="AA258" s="48"/>
      <c r="AB258" s="47"/>
      <c r="AC258" s="47"/>
      <c r="AD258" s="47"/>
      <c r="AE258" s="47"/>
      <c r="AF258" s="124" t="n">
        <v>11</v>
      </c>
    </row>
    <row r="259" s="124" customFormat="true" ht="11.25" hidden="false" customHeight="true" outlineLevel="0" collapsed="false">
      <c r="A259" s="608"/>
      <c r="B259" s="49"/>
      <c r="C259" s="49"/>
      <c r="K259" s="45"/>
      <c r="L259" s="49"/>
      <c r="M259" s="49"/>
      <c r="N259" s="45"/>
      <c r="O259" s="45"/>
      <c r="P259" s="45"/>
      <c r="Q259" s="45"/>
      <c r="R259" s="49"/>
      <c r="S259" s="45"/>
      <c r="T259" s="45"/>
      <c r="U259" s="609"/>
      <c r="V259" s="45"/>
      <c r="W259" s="45"/>
      <c r="X259" s="45"/>
      <c r="Y259" s="45"/>
      <c r="Z259" s="45"/>
      <c r="AA259" s="48"/>
      <c r="AB259" s="47"/>
      <c r="AC259" s="47"/>
      <c r="AD259" s="47"/>
      <c r="AE259" s="47"/>
      <c r="AF259" s="124" t="n">
        <v>11</v>
      </c>
    </row>
    <row r="260" s="124" customFormat="true" ht="11.25" hidden="false" customHeight="true" outlineLevel="0" collapsed="false">
      <c r="A260" s="608"/>
      <c r="B260" s="49"/>
      <c r="C260" s="49"/>
      <c r="K260" s="45"/>
      <c r="L260" s="49"/>
      <c r="M260" s="49"/>
      <c r="N260" s="45"/>
      <c r="O260" s="45"/>
      <c r="P260" s="45"/>
      <c r="Q260" s="45"/>
      <c r="R260" s="49"/>
      <c r="S260" s="45"/>
      <c r="T260" s="45"/>
      <c r="U260" s="609"/>
      <c r="V260" s="45"/>
      <c r="W260" s="45"/>
      <c r="X260" s="45"/>
      <c r="Y260" s="45"/>
      <c r="Z260" s="45"/>
      <c r="AA260" s="48"/>
      <c r="AB260" s="47"/>
      <c r="AC260" s="47"/>
      <c r="AD260" s="47"/>
      <c r="AE260" s="47"/>
      <c r="AF260" s="124" t="n">
        <v>11</v>
      </c>
    </row>
    <row r="261" s="124" customFormat="true" ht="11.25" hidden="false" customHeight="true" outlineLevel="0" collapsed="false">
      <c r="A261" s="608"/>
      <c r="B261" s="49"/>
      <c r="C261" s="49"/>
      <c r="K261" s="45"/>
      <c r="L261" s="49"/>
      <c r="M261" s="49"/>
      <c r="N261" s="45"/>
      <c r="O261" s="45"/>
      <c r="P261" s="45"/>
      <c r="Q261" s="45"/>
      <c r="R261" s="49"/>
      <c r="S261" s="45"/>
      <c r="T261" s="45"/>
      <c r="U261" s="609"/>
      <c r="V261" s="45"/>
      <c r="W261" s="45"/>
      <c r="X261" s="45"/>
      <c r="Y261" s="45"/>
      <c r="Z261" s="45"/>
      <c r="AA261" s="48"/>
      <c r="AB261" s="47"/>
      <c r="AC261" s="47"/>
      <c r="AD261" s="47"/>
      <c r="AE261" s="47"/>
      <c r="AF261" s="124" t="n">
        <v>11</v>
      </c>
    </row>
    <row r="262" s="124" customFormat="true" ht="11.25" hidden="false" customHeight="true" outlineLevel="0" collapsed="false">
      <c r="A262" s="608"/>
      <c r="B262" s="49"/>
      <c r="C262" s="49"/>
      <c r="K262" s="45"/>
      <c r="L262" s="49"/>
      <c r="M262" s="49"/>
      <c r="N262" s="45"/>
      <c r="O262" s="45"/>
      <c r="P262" s="45"/>
      <c r="Q262" s="45"/>
      <c r="R262" s="49"/>
      <c r="S262" s="45"/>
      <c r="T262" s="45"/>
      <c r="U262" s="609"/>
      <c r="V262" s="45"/>
      <c r="W262" s="45"/>
      <c r="X262" s="45"/>
      <c r="Y262" s="45"/>
      <c r="Z262" s="45"/>
      <c r="AA262" s="48"/>
      <c r="AB262" s="47"/>
      <c r="AC262" s="47"/>
      <c r="AD262" s="47"/>
      <c r="AE262" s="47"/>
      <c r="AF262" s="124" t="n">
        <v>11</v>
      </c>
    </row>
    <row r="263" s="124" customFormat="true" ht="11.25" hidden="false" customHeight="true" outlineLevel="0" collapsed="false">
      <c r="A263" s="608"/>
      <c r="B263" s="49"/>
      <c r="C263" s="49"/>
      <c r="K263" s="45"/>
      <c r="L263" s="49"/>
      <c r="M263" s="49"/>
      <c r="N263" s="45"/>
      <c r="O263" s="45"/>
      <c r="P263" s="45"/>
      <c r="Q263" s="45"/>
      <c r="R263" s="49"/>
      <c r="S263" s="45"/>
      <c r="T263" s="45"/>
      <c r="U263" s="609"/>
      <c r="V263" s="45"/>
      <c r="W263" s="45"/>
      <c r="X263" s="45"/>
      <c r="Y263" s="45"/>
      <c r="Z263" s="45"/>
      <c r="AA263" s="48"/>
      <c r="AB263" s="47"/>
      <c r="AC263" s="47"/>
      <c r="AD263" s="47"/>
      <c r="AE263" s="47"/>
      <c r="AF263" s="124" t="n">
        <v>11</v>
      </c>
    </row>
    <row r="264" s="124" customFormat="true" ht="11.25" hidden="false" customHeight="true" outlineLevel="0" collapsed="false">
      <c r="A264" s="608"/>
      <c r="B264" s="49"/>
      <c r="C264" s="49"/>
      <c r="K264" s="45"/>
      <c r="L264" s="49"/>
      <c r="M264" s="49"/>
      <c r="N264" s="45"/>
      <c r="O264" s="45"/>
      <c r="P264" s="45"/>
      <c r="Q264" s="45"/>
      <c r="R264" s="49"/>
      <c r="S264" s="45"/>
      <c r="T264" s="45"/>
      <c r="U264" s="609"/>
      <c r="V264" s="45"/>
      <c r="W264" s="45"/>
      <c r="X264" s="45"/>
      <c r="Y264" s="45"/>
      <c r="Z264" s="45"/>
      <c r="AA264" s="48"/>
      <c r="AB264" s="47"/>
      <c r="AC264" s="47"/>
      <c r="AD264" s="47"/>
      <c r="AE264" s="47"/>
      <c r="AF264" s="124" t="n">
        <v>11</v>
      </c>
    </row>
    <row r="265" s="124" customFormat="true" ht="11.25" hidden="false" customHeight="true" outlineLevel="0" collapsed="false">
      <c r="A265" s="608"/>
      <c r="B265" s="49"/>
      <c r="C265" s="49"/>
      <c r="K265" s="45"/>
      <c r="L265" s="49"/>
      <c r="M265" s="49"/>
      <c r="N265" s="45"/>
      <c r="O265" s="45"/>
      <c r="P265" s="45"/>
      <c r="Q265" s="45"/>
      <c r="R265" s="49"/>
      <c r="S265" s="45"/>
      <c r="T265" s="45"/>
      <c r="U265" s="609"/>
      <c r="V265" s="45"/>
      <c r="W265" s="45"/>
      <c r="X265" s="45"/>
      <c r="Y265" s="45"/>
      <c r="Z265" s="45"/>
      <c r="AA265" s="48"/>
      <c r="AB265" s="47"/>
      <c r="AC265" s="47"/>
      <c r="AD265" s="47"/>
      <c r="AE265" s="47"/>
      <c r="AF265" s="124" t="n">
        <v>11</v>
      </c>
    </row>
    <row r="266" s="124" customFormat="true" ht="11.25" hidden="false" customHeight="true" outlineLevel="0" collapsed="false">
      <c r="A266" s="608"/>
      <c r="B266" s="49"/>
      <c r="C266" s="49"/>
      <c r="K266" s="45"/>
      <c r="L266" s="49"/>
      <c r="M266" s="49"/>
      <c r="N266" s="45"/>
      <c r="O266" s="45"/>
      <c r="P266" s="45"/>
      <c r="Q266" s="45"/>
      <c r="R266" s="49"/>
      <c r="S266" s="45"/>
      <c r="T266" s="45"/>
      <c r="U266" s="609"/>
      <c r="V266" s="45"/>
      <c r="W266" s="45"/>
      <c r="X266" s="45"/>
      <c r="Y266" s="45"/>
      <c r="Z266" s="45"/>
      <c r="AA266" s="48"/>
      <c r="AB266" s="47"/>
      <c r="AC266" s="47"/>
      <c r="AD266" s="47"/>
      <c r="AE266" s="47"/>
      <c r="AF266" s="124" t="n">
        <v>11</v>
      </c>
    </row>
    <row r="267" s="124" customFormat="true" ht="11.25" hidden="false" customHeight="true" outlineLevel="0" collapsed="false">
      <c r="A267" s="608"/>
      <c r="B267" s="49"/>
      <c r="C267" s="49"/>
      <c r="K267" s="45"/>
      <c r="L267" s="49"/>
      <c r="M267" s="49"/>
      <c r="N267" s="45"/>
      <c r="O267" s="45"/>
      <c r="P267" s="45"/>
      <c r="Q267" s="45"/>
      <c r="R267" s="49"/>
      <c r="S267" s="45"/>
      <c r="T267" s="45"/>
      <c r="U267" s="609"/>
      <c r="V267" s="45"/>
      <c r="W267" s="45"/>
      <c r="X267" s="45"/>
      <c r="Y267" s="45"/>
      <c r="Z267" s="45"/>
      <c r="AA267" s="48"/>
      <c r="AB267" s="47"/>
      <c r="AC267" s="47"/>
      <c r="AD267" s="47"/>
      <c r="AE267" s="47"/>
      <c r="AF267" s="124" t="n">
        <v>11</v>
      </c>
    </row>
    <row r="268" s="124" customFormat="true" ht="11.25" hidden="false" customHeight="true" outlineLevel="0" collapsed="false">
      <c r="A268" s="608"/>
      <c r="B268" s="49"/>
      <c r="C268" s="49"/>
      <c r="K268" s="45"/>
      <c r="L268" s="49"/>
      <c r="M268" s="49"/>
      <c r="N268" s="45"/>
      <c r="O268" s="45"/>
      <c r="P268" s="45"/>
      <c r="Q268" s="45"/>
      <c r="R268" s="49"/>
      <c r="S268" s="45"/>
      <c r="T268" s="45"/>
      <c r="U268" s="609"/>
      <c r="V268" s="45"/>
      <c r="W268" s="45"/>
      <c r="X268" s="45"/>
      <c r="Y268" s="45"/>
      <c r="Z268" s="45"/>
      <c r="AA268" s="48"/>
      <c r="AB268" s="47"/>
      <c r="AC268" s="47"/>
      <c r="AD268" s="47"/>
      <c r="AE268" s="47"/>
      <c r="AF268" s="124" t="n">
        <v>11</v>
      </c>
    </row>
    <row r="269" s="124" customFormat="true" ht="11.25" hidden="false" customHeight="true" outlineLevel="0" collapsed="false">
      <c r="A269" s="608"/>
      <c r="B269" s="49"/>
      <c r="C269" s="49"/>
      <c r="K269" s="45"/>
      <c r="L269" s="49"/>
      <c r="M269" s="49"/>
      <c r="N269" s="45"/>
      <c r="O269" s="45"/>
      <c r="P269" s="45"/>
      <c r="Q269" s="45"/>
      <c r="R269" s="49"/>
      <c r="S269" s="45"/>
      <c r="T269" s="45"/>
      <c r="U269" s="609"/>
      <c r="V269" s="45"/>
      <c r="W269" s="45"/>
      <c r="X269" s="45"/>
      <c r="Y269" s="45"/>
      <c r="Z269" s="45"/>
      <c r="AA269" s="48"/>
      <c r="AB269" s="47"/>
      <c r="AC269" s="47"/>
      <c r="AD269" s="47"/>
      <c r="AE269" s="47"/>
      <c r="AF269" s="124" t="n">
        <v>11</v>
      </c>
    </row>
    <row r="270" s="124" customFormat="true" ht="11.25" hidden="false" customHeight="true" outlineLevel="0" collapsed="false">
      <c r="A270" s="608"/>
      <c r="B270" s="49"/>
      <c r="C270" s="49"/>
      <c r="K270" s="45"/>
      <c r="L270" s="49"/>
      <c r="M270" s="49"/>
      <c r="N270" s="45"/>
      <c r="O270" s="45"/>
      <c r="P270" s="45"/>
      <c r="Q270" s="45"/>
      <c r="R270" s="49"/>
      <c r="S270" s="45"/>
      <c r="T270" s="45"/>
      <c r="U270" s="609"/>
      <c r="V270" s="45"/>
      <c r="W270" s="45"/>
      <c r="X270" s="45"/>
      <c r="Y270" s="45"/>
      <c r="Z270" s="45"/>
      <c r="AA270" s="48"/>
      <c r="AB270" s="47"/>
      <c r="AC270" s="47"/>
      <c r="AD270" s="47"/>
      <c r="AE270" s="47"/>
      <c r="AF270" s="124" t="n">
        <v>11</v>
      </c>
    </row>
    <row r="271" s="124" customFormat="true" ht="11.25" hidden="false" customHeight="true" outlineLevel="0" collapsed="false">
      <c r="A271" s="608"/>
      <c r="B271" s="49"/>
      <c r="C271" s="49"/>
      <c r="K271" s="45"/>
      <c r="L271" s="49"/>
      <c r="M271" s="49"/>
      <c r="N271" s="45"/>
      <c r="O271" s="45"/>
      <c r="P271" s="45"/>
      <c r="Q271" s="45"/>
      <c r="R271" s="49"/>
      <c r="S271" s="45"/>
      <c r="T271" s="45"/>
      <c r="U271" s="609"/>
      <c r="V271" s="45"/>
      <c r="W271" s="45"/>
      <c r="X271" s="45"/>
      <c r="Y271" s="45"/>
      <c r="Z271" s="45"/>
      <c r="AA271" s="48"/>
      <c r="AB271" s="47"/>
      <c r="AC271" s="47"/>
      <c r="AD271" s="47"/>
      <c r="AE271" s="47"/>
      <c r="AF271" s="124" t="n">
        <v>11</v>
      </c>
    </row>
    <row r="272" s="124" customFormat="true" ht="11.25" hidden="false" customHeight="true" outlineLevel="0" collapsed="false">
      <c r="A272" s="608"/>
      <c r="B272" s="49"/>
      <c r="C272" s="49"/>
      <c r="K272" s="45"/>
      <c r="L272" s="49"/>
      <c r="M272" s="49"/>
      <c r="N272" s="45"/>
      <c r="O272" s="45"/>
      <c r="P272" s="45"/>
      <c r="Q272" s="45"/>
      <c r="R272" s="49"/>
      <c r="S272" s="45"/>
      <c r="T272" s="45"/>
      <c r="U272" s="609"/>
      <c r="V272" s="45"/>
      <c r="W272" s="45"/>
      <c r="X272" s="45"/>
      <c r="Y272" s="45"/>
      <c r="Z272" s="45"/>
      <c r="AA272" s="48"/>
      <c r="AB272" s="47"/>
      <c r="AC272" s="47"/>
      <c r="AD272" s="47"/>
      <c r="AE272" s="47"/>
      <c r="AF272" s="124" t="n">
        <v>11</v>
      </c>
    </row>
    <row r="273" s="124" customFormat="true" ht="11.25" hidden="false" customHeight="true" outlineLevel="0" collapsed="false">
      <c r="A273" s="608"/>
      <c r="B273" s="49"/>
      <c r="C273" s="49"/>
      <c r="K273" s="45"/>
      <c r="L273" s="49"/>
      <c r="M273" s="49"/>
      <c r="N273" s="45"/>
      <c r="O273" s="45"/>
      <c r="P273" s="45"/>
      <c r="Q273" s="45"/>
      <c r="R273" s="49"/>
      <c r="S273" s="45"/>
      <c r="T273" s="45"/>
      <c r="U273" s="609"/>
      <c r="V273" s="45"/>
      <c r="W273" s="45"/>
      <c r="X273" s="45"/>
      <c r="Y273" s="45"/>
      <c r="Z273" s="45"/>
      <c r="AA273" s="48"/>
      <c r="AB273" s="47"/>
      <c r="AC273" s="47"/>
      <c r="AD273" s="47"/>
      <c r="AE273" s="47"/>
      <c r="AF273" s="124" t="n">
        <v>11</v>
      </c>
    </row>
    <row r="274" s="124" customFormat="true" ht="11.25" hidden="false" customHeight="true" outlineLevel="0" collapsed="false">
      <c r="A274" s="608"/>
      <c r="B274" s="49"/>
      <c r="C274" s="49"/>
      <c r="K274" s="45"/>
      <c r="L274" s="49"/>
      <c r="M274" s="49"/>
      <c r="N274" s="45"/>
      <c r="O274" s="45"/>
      <c r="P274" s="45"/>
      <c r="Q274" s="45"/>
      <c r="R274" s="49"/>
      <c r="S274" s="45"/>
      <c r="T274" s="45"/>
      <c r="U274" s="609"/>
      <c r="V274" s="45"/>
      <c r="W274" s="45"/>
      <c r="X274" s="45"/>
      <c r="Y274" s="45"/>
      <c r="Z274" s="45"/>
      <c r="AA274" s="48"/>
      <c r="AB274" s="47"/>
      <c r="AC274" s="47"/>
      <c r="AD274" s="47"/>
      <c r="AE274" s="47"/>
      <c r="AF274" s="124" t="n">
        <v>11</v>
      </c>
    </row>
    <row r="275" s="124" customFormat="true" ht="11.25" hidden="false" customHeight="true" outlineLevel="0" collapsed="false">
      <c r="A275" s="608"/>
      <c r="B275" s="49"/>
      <c r="C275" s="49"/>
      <c r="K275" s="45"/>
      <c r="L275" s="49"/>
      <c r="M275" s="49"/>
      <c r="N275" s="45"/>
      <c r="O275" s="45"/>
      <c r="P275" s="45"/>
      <c r="Q275" s="45"/>
      <c r="R275" s="49"/>
      <c r="S275" s="45"/>
      <c r="T275" s="45"/>
      <c r="U275" s="609"/>
      <c r="V275" s="45"/>
      <c r="W275" s="45"/>
      <c r="X275" s="45"/>
      <c r="Y275" s="45"/>
      <c r="Z275" s="45"/>
      <c r="AA275" s="48"/>
      <c r="AB275" s="47"/>
      <c r="AC275" s="47"/>
      <c r="AD275" s="47"/>
      <c r="AE275" s="47"/>
      <c r="AF275" s="124" t="n">
        <v>11</v>
      </c>
    </row>
    <row r="276" s="124" customFormat="true" ht="11.25" hidden="false" customHeight="true" outlineLevel="0" collapsed="false">
      <c r="A276" s="608"/>
      <c r="B276" s="49"/>
      <c r="C276" s="49"/>
      <c r="K276" s="45"/>
      <c r="L276" s="49"/>
      <c r="M276" s="49"/>
      <c r="N276" s="45"/>
      <c r="O276" s="45"/>
      <c r="P276" s="45"/>
      <c r="Q276" s="45"/>
      <c r="R276" s="49"/>
      <c r="S276" s="45"/>
      <c r="T276" s="45"/>
      <c r="U276" s="609"/>
      <c r="V276" s="45"/>
      <c r="W276" s="45"/>
      <c r="X276" s="45"/>
      <c r="Y276" s="45"/>
      <c r="Z276" s="45"/>
      <c r="AA276" s="48"/>
      <c r="AB276" s="47"/>
      <c r="AC276" s="47"/>
      <c r="AD276" s="47"/>
      <c r="AE276" s="47"/>
      <c r="AF276" s="124" t="n">
        <v>11</v>
      </c>
    </row>
    <row r="277" s="124" customFormat="true" ht="11.25" hidden="false" customHeight="true" outlineLevel="0" collapsed="false">
      <c r="A277" s="608"/>
      <c r="B277" s="49"/>
      <c r="C277" s="49"/>
      <c r="K277" s="45"/>
      <c r="L277" s="49"/>
      <c r="M277" s="49"/>
      <c r="N277" s="45"/>
      <c r="O277" s="45"/>
      <c r="P277" s="45"/>
      <c r="Q277" s="45"/>
      <c r="R277" s="49"/>
      <c r="S277" s="45"/>
      <c r="T277" s="45"/>
      <c r="U277" s="609"/>
      <c r="V277" s="45"/>
      <c r="W277" s="45"/>
      <c r="X277" s="45"/>
      <c r="Y277" s="45"/>
      <c r="Z277" s="45"/>
      <c r="AA277" s="48"/>
      <c r="AB277" s="47"/>
      <c r="AC277" s="47"/>
      <c r="AD277" s="47"/>
      <c r="AE277" s="47"/>
      <c r="AF277" s="124" t="n">
        <v>11</v>
      </c>
    </row>
    <row r="278" s="124" customFormat="true" ht="11.25" hidden="false" customHeight="true" outlineLevel="0" collapsed="false">
      <c r="A278" s="608"/>
      <c r="B278" s="49"/>
      <c r="C278" s="49"/>
      <c r="K278" s="45"/>
      <c r="L278" s="49"/>
      <c r="M278" s="49"/>
      <c r="N278" s="45"/>
      <c r="O278" s="45"/>
      <c r="P278" s="45"/>
      <c r="Q278" s="45"/>
      <c r="R278" s="49"/>
      <c r="S278" s="45"/>
      <c r="T278" s="45"/>
      <c r="U278" s="609"/>
      <c r="V278" s="45"/>
      <c r="W278" s="45"/>
      <c r="X278" s="45"/>
      <c r="Y278" s="45"/>
      <c r="Z278" s="45"/>
      <c r="AA278" s="48"/>
      <c r="AB278" s="47"/>
      <c r="AC278" s="47"/>
      <c r="AD278" s="47"/>
      <c r="AE278" s="47"/>
      <c r="AF278" s="124" t="n">
        <v>11</v>
      </c>
    </row>
    <row r="279" s="124" customFormat="true" ht="11.25" hidden="false" customHeight="true" outlineLevel="0" collapsed="false">
      <c r="A279" s="608"/>
      <c r="B279" s="49"/>
      <c r="C279" s="49"/>
      <c r="K279" s="45"/>
      <c r="L279" s="49"/>
      <c r="M279" s="49"/>
      <c r="N279" s="45"/>
      <c r="O279" s="45"/>
      <c r="P279" s="45"/>
      <c r="Q279" s="45"/>
      <c r="R279" s="49"/>
      <c r="S279" s="45"/>
      <c r="T279" s="45"/>
      <c r="U279" s="609"/>
      <c r="V279" s="45"/>
      <c r="W279" s="45"/>
      <c r="X279" s="45"/>
      <c r="Y279" s="45"/>
      <c r="Z279" s="45"/>
      <c r="AA279" s="48"/>
      <c r="AB279" s="47"/>
      <c r="AC279" s="47"/>
      <c r="AD279" s="47"/>
      <c r="AE279" s="47"/>
      <c r="AF279" s="124" t="n">
        <v>11</v>
      </c>
    </row>
    <row r="280" s="124" customFormat="true" ht="11.25" hidden="false" customHeight="true" outlineLevel="0" collapsed="false">
      <c r="A280" s="608"/>
      <c r="B280" s="49"/>
      <c r="C280" s="49"/>
      <c r="K280" s="45"/>
      <c r="L280" s="49"/>
      <c r="M280" s="49"/>
      <c r="N280" s="45"/>
      <c r="O280" s="45"/>
      <c r="P280" s="45"/>
      <c r="Q280" s="45"/>
      <c r="R280" s="49"/>
      <c r="S280" s="45"/>
      <c r="T280" s="45"/>
      <c r="U280" s="609"/>
      <c r="V280" s="45"/>
      <c r="W280" s="45"/>
      <c r="X280" s="45"/>
      <c r="Y280" s="45"/>
      <c r="Z280" s="45"/>
      <c r="AA280" s="48"/>
      <c r="AB280" s="47"/>
      <c r="AC280" s="47"/>
      <c r="AD280" s="47"/>
      <c r="AE280" s="47"/>
      <c r="AF280" s="124" t="n">
        <v>11</v>
      </c>
    </row>
    <row r="281" s="124" customFormat="true" ht="11.25" hidden="false" customHeight="true" outlineLevel="0" collapsed="false">
      <c r="A281" s="608"/>
      <c r="B281" s="49"/>
      <c r="C281" s="49"/>
      <c r="K281" s="45"/>
      <c r="L281" s="49"/>
      <c r="M281" s="49"/>
      <c r="N281" s="45"/>
      <c r="O281" s="45"/>
      <c r="P281" s="45"/>
      <c r="Q281" s="45"/>
      <c r="R281" s="49"/>
      <c r="S281" s="45"/>
      <c r="T281" s="45"/>
      <c r="U281" s="609"/>
      <c r="V281" s="45"/>
      <c r="W281" s="45"/>
      <c r="X281" s="45"/>
      <c r="Y281" s="45"/>
      <c r="Z281" s="45"/>
      <c r="AA281" s="48"/>
      <c r="AB281" s="47"/>
      <c r="AC281" s="47"/>
      <c r="AD281" s="47"/>
      <c r="AE281" s="47"/>
      <c r="AF281" s="124" t="n">
        <v>11</v>
      </c>
    </row>
    <row r="282" s="124" customFormat="true" ht="11.25" hidden="false" customHeight="true" outlineLevel="0" collapsed="false">
      <c r="A282" s="608"/>
      <c r="B282" s="49"/>
      <c r="C282" s="49"/>
      <c r="K282" s="45"/>
      <c r="L282" s="49"/>
      <c r="M282" s="49"/>
      <c r="N282" s="45"/>
      <c r="O282" s="45"/>
      <c r="P282" s="45"/>
      <c r="Q282" s="45"/>
      <c r="R282" s="49"/>
      <c r="S282" s="45"/>
      <c r="T282" s="45"/>
      <c r="U282" s="609"/>
      <c r="V282" s="45"/>
      <c r="W282" s="45"/>
      <c r="X282" s="45"/>
      <c r="Y282" s="45"/>
      <c r="Z282" s="45"/>
      <c r="AA282" s="48"/>
      <c r="AB282" s="47"/>
      <c r="AC282" s="47"/>
      <c r="AD282" s="47"/>
      <c r="AE282" s="47"/>
      <c r="AF282" s="124" t="n">
        <v>11</v>
      </c>
    </row>
    <row r="283" s="124" customFormat="true" ht="11.25" hidden="false" customHeight="true" outlineLevel="0" collapsed="false">
      <c r="A283" s="608"/>
      <c r="B283" s="49"/>
      <c r="C283" s="49"/>
      <c r="K283" s="45"/>
      <c r="L283" s="49"/>
      <c r="M283" s="49"/>
      <c r="N283" s="45"/>
      <c r="O283" s="45"/>
      <c r="P283" s="45"/>
      <c r="Q283" s="45"/>
      <c r="R283" s="49"/>
      <c r="S283" s="45"/>
      <c r="T283" s="45"/>
      <c r="U283" s="609"/>
      <c r="V283" s="45"/>
      <c r="W283" s="45"/>
      <c r="X283" s="45"/>
      <c r="Y283" s="45"/>
      <c r="Z283" s="45"/>
      <c r="AA283" s="48"/>
      <c r="AB283" s="47"/>
      <c r="AC283" s="47"/>
      <c r="AD283" s="47"/>
      <c r="AE283" s="47"/>
      <c r="AF283" s="124" t="n">
        <v>11</v>
      </c>
    </row>
    <row r="284" s="124" customFormat="true" ht="11.25" hidden="false" customHeight="true" outlineLevel="0" collapsed="false">
      <c r="A284" s="608"/>
      <c r="B284" s="49"/>
      <c r="C284" s="49"/>
      <c r="K284" s="45"/>
      <c r="L284" s="49"/>
      <c r="M284" s="49"/>
      <c r="N284" s="45"/>
      <c r="O284" s="45"/>
      <c r="P284" s="45"/>
      <c r="Q284" s="45"/>
      <c r="R284" s="49"/>
      <c r="S284" s="45"/>
      <c r="T284" s="45"/>
      <c r="U284" s="609"/>
      <c r="V284" s="45"/>
      <c r="W284" s="45"/>
      <c r="X284" s="45"/>
      <c r="Y284" s="45"/>
      <c r="Z284" s="45"/>
      <c r="AA284" s="48"/>
      <c r="AB284" s="47"/>
      <c r="AC284" s="47"/>
      <c r="AD284" s="47"/>
      <c r="AE284" s="47"/>
      <c r="AF284" s="124" t="n">
        <v>11</v>
      </c>
    </row>
    <row r="285" s="124" customFormat="true" ht="11.25" hidden="false" customHeight="true" outlineLevel="0" collapsed="false">
      <c r="A285" s="608"/>
      <c r="B285" s="49"/>
      <c r="C285" s="49"/>
      <c r="K285" s="45"/>
      <c r="L285" s="49"/>
      <c r="M285" s="49"/>
      <c r="N285" s="45"/>
      <c r="O285" s="45"/>
      <c r="P285" s="45"/>
      <c r="Q285" s="45"/>
      <c r="R285" s="49"/>
      <c r="S285" s="45"/>
      <c r="T285" s="45"/>
      <c r="U285" s="609"/>
      <c r="V285" s="45"/>
      <c r="W285" s="45"/>
      <c r="X285" s="45"/>
      <c r="Y285" s="45"/>
      <c r="Z285" s="45"/>
      <c r="AA285" s="48"/>
      <c r="AB285" s="47"/>
      <c r="AC285" s="47"/>
      <c r="AD285" s="47"/>
      <c r="AE285" s="47"/>
      <c r="AF285" s="124" t="n">
        <v>11</v>
      </c>
    </row>
    <row r="286" s="124" customFormat="true" ht="11.25" hidden="false" customHeight="true" outlineLevel="0" collapsed="false">
      <c r="A286" s="608"/>
      <c r="B286" s="49"/>
      <c r="C286" s="49"/>
      <c r="K286" s="45"/>
      <c r="L286" s="49"/>
      <c r="M286" s="49"/>
      <c r="N286" s="45"/>
      <c r="O286" s="45"/>
      <c r="P286" s="45"/>
      <c r="Q286" s="45"/>
      <c r="R286" s="49"/>
      <c r="S286" s="45"/>
      <c r="T286" s="45"/>
      <c r="U286" s="609"/>
      <c r="V286" s="45"/>
      <c r="W286" s="45"/>
      <c r="X286" s="45"/>
      <c r="Y286" s="45"/>
      <c r="Z286" s="45"/>
      <c r="AA286" s="48"/>
      <c r="AB286" s="47"/>
      <c r="AC286" s="47"/>
      <c r="AD286" s="47"/>
      <c r="AE286" s="47"/>
      <c r="AF286" s="124" t="n">
        <v>11</v>
      </c>
    </row>
    <row r="287" s="124" customFormat="true" ht="11.25" hidden="false" customHeight="true" outlineLevel="0" collapsed="false">
      <c r="A287" s="608"/>
      <c r="B287" s="49"/>
      <c r="C287" s="49"/>
      <c r="K287" s="45"/>
      <c r="L287" s="49"/>
      <c r="M287" s="49"/>
      <c r="N287" s="45"/>
      <c r="O287" s="45"/>
      <c r="P287" s="45"/>
      <c r="Q287" s="45"/>
      <c r="R287" s="49"/>
      <c r="S287" s="45"/>
      <c r="T287" s="45"/>
      <c r="U287" s="609"/>
      <c r="V287" s="45"/>
      <c r="W287" s="45"/>
      <c r="X287" s="45"/>
      <c r="Y287" s="45"/>
      <c r="Z287" s="45"/>
      <c r="AA287" s="48"/>
      <c r="AB287" s="47"/>
      <c r="AC287" s="47"/>
      <c r="AD287" s="47"/>
      <c r="AE287" s="47"/>
      <c r="AF287" s="124" t="n">
        <v>11</v>
      </c>
    </row>
    <row r="288" s="124" customFormat="true" ht="11.25" hidden="false" customHeight="true" outlineLevel="0" collapsed="false">
      <c r="A288" s="608"/>
      <c r="B288" s="49"/>
      <c r="C288" s="49"/>
      <c r="K288" s="45"/>
      <c r="L288" s="49"/>
      <c r="M288" s="49"/>
      <c r="N288" s="45"/>
      <c r="O288" s="45"/>
      <c r="P288" s="45"/>
      <c r="Q288" s="45"/>
      <c r="R288" s="49"/>
      <c r="S288" s="45"/>
      <c r="T288" s="45"/>
      <c r="U288" s="609"/>
      <c r="V288" s="45"/>
      <c r="W288" s="45"/>
      <c r="X288" s="45"/>
      <c r="Y288" s="45"/>
      <c r="Z288" s="45"/>
      <c r="AA288" s="48"/>
      <c r="AB288" s="47"/>
      <c r="AC288" s="47"/>
      <c r="AD288" s="47"/>
      <c r="AE288" s="47"/>
      <c r="AF288" s="124" t="n">
        <v>11</v>
      </c>
    </row>
    <row r="289" customFormat="false" ht="11.25" hidden="false" customHeight="true" outlineLevel="0" collapsed="false">
      <c r="AF289" s="42" t="n">
        <v>11</v>
      </c>
    </row>
    <row r="290" customFormat="false" ht="11.25" hidden="false" customHeight="true" outlineLevel="0" collapsed="false">
      <c r="AF290" s="42" t="n">
        <v>11</v>
      </c>
    </row>
    <row r="291" customFormat="false" ht="11.25" hidden="false" customHeight="true" outlineLevel="0" collapsed="false">
      <c r="AF291" s="42" t="n">
        <v>11</v>
      </c>
    </row>
    <row r="292" customFormat="false" ht="11.25" hidden="false" customHeight="true" outlineLevel="0" collapsed="false">
      <c r="A292" s="679"/>
      <c r="B292" s="42"/>
      <c r="K292" s="42"/>
      <c r="N292" s="42"/>
      <c r="O292" s="42"/>
      <c r="P292" s="42"/>
      <c r="Q292" s="42"/>
      <c r="S292" s="42"/>
      <c r="T292" s="42"/>
      <c r="U292" s="42"/>
      <c r="V292" s="42"/>
      <c r="W292" s="42"/>
      <c r="X292" s="42"/>
      <c r="Y292" s="42"/>
      <c r="Z292" s="42"/>
      <c r="AA292" s="42"/>
      <c r="AB292" s="42"/>
      <c r="AC292" s="42"/>
      <c r="AD292" s="42"/>
      <c r="AE292" s="42"/>
      <c r="AF292" s="42" t="n">
        <v>11</v>
      </c>
    </row>
    <row r="293" customFormat="false" ht="11.25" hidden="false" customHeight="true" outlineLevel="0" collapsed="false">
      <c r="A293" s="679"/>
      <c r="B293" s="42"/>
      <c r="K293" s="42"/>
      <c r="N293" s="42"/>
      <c r="O293" s="42"/>
      <c r="P293" s="42"/>
      <c r="Q293" s="42"/>
      <c r="S293" s="42"/>
      <c r="T293" s="42"/>
      <c r="U293" s="42"/>
      <c r="V293" s="42"/>
      <c r="W293" s="42"/>
      <c r="X293" s="42"/>
      <c r="Y293" s="42"/>
      <c r="Z293" s="42"/>
      <c r="AA293" s="42"/>
      <c r="AB293" s="42"/>
      <c r="AC293" s="42"/>
      <c r="AD293" s="42"/>
      <c r="AE293" s="42"/>
      <c r="AF293" s="42" t="n">
        <v>11</v>
      </c>
    </row>
    <row r="294" customFormat="false" ht="11.25" hidden="false" customHeight="true" outlineLevel="0" collapsed="false">
      <c r="A294" s="679"/>
      <c r="B294" s="42"/>
      <c r="K294" s="42"/>
      <c r="N294" s="42"/>
      <c r="O294" s="42"/>
      <c r="P294" s="42"/>
      <c r="Q294" s="42"/>
      <c r="S294" s="42"/>
      <c r="T294" s="42"/>
      <c r="U294" s="42"/>
      <c r="V294" s="42"/>
      <c r="W294" s="42"/>
      <c r="X294" s="42"/>
      <c r="Y294" s="42"/>
      <c r="Z294" s="42"/>
      <c r="AA294" s="42"/>
      <c r="AB294" s="42"/>
      <c r="AC294" s="42"/>
      <c r="AD294" s="42"/>
      <c r="AE294" s="42"/>
      <c r="AF294" s="42" t="n">
        <v>11</v>
      </c>
    </row>
    <row r="295" customFormat="false" ht="11.25" hidden="false" customHeight="true" outlineLevel="0" collapsed="false">
      <c r="A295" s="679"/>
      <c r="B295" s="42"/>
      <c r="K295" s="42"/>
      <c r="N295" s="42"/>
      <c r="O295" s="42"/>
      <c r="P295" s="42"/>
      <c r="Q295" s="42"/>
      <c r="S295" s="42"/>
      <c r="T295" s="42"/>
      <c r="U295" s="42"/>
      <c r="V295" s="42"/>
      <c r="W295" s="42"/>
      <c r="X295" s="42"/>
      <c r="Y295" s="42"/>
      <c r="Z295" s="42"/>
      <c r="AA295" s="42"/>
      <c r="AB295" s="42"/>
      <c r="AC295" s="42"/>
      <c r="AD295" s="42"/>
      <c r="AE295" s="42"/>
      <c r="AF295" s="42" t="n">
        <v>11</v>
      </c>
    </row>
    <row r="296" customFormat="false" ht="11.25" hidden="false" customHeight="true" outlineLevel="0" collapsed="false">
      <c r="A296" s="679"/>
      <c r="B296" s="42"/>
      <c r="K296" s="42"/>
      <c r="N296" s="42"/>
      <c r="O296" s="42"/>
      <c r="P296" s="42"/>
      <c r="Q296" s="42"/>
      <c r="S296" s="42"/>
      <c r="T296" s="42"/>
      <c r="U296" s="42"/>
      <c r="V296" s="42"/>
      <c r="W296" s="42"/>
      <c r="X296" s="42"/>
      <c r="Y296" s="42"/>
      <c r="Z296" s="42"/>
      <c r="AA296" s="42"/>
      <c r="AB296" s="42"/>
      <c r="AC296" s="42"/>
      <c r="AD296" s="42"/>
      <c r="AE296" s="42"/>
      <c r="AF296" s="42" t="n">
        <v>11</v>
      </c>
    </row>
    <row r="297" customFormat="false" ht="11.25" hidden="false" customHeight="true" outlineLevel="0" collapsed="false">
      <c r="A297" s="679"/>
      <c r="B297" s="42"/>
      <c r="K297" s="42"/>
      <c r="N297" s="42"/>
      <c r="O297" s="42"/>
      <c r="P297" s="42"/>
      <c r="Q297" s="42"/>
      <c r="S297" s="42"/>
      <c r="T297" s="42"/>
      <c r="U297" s="42"/>
      <c r="V297" s="42"/>
      <c r="W297" s="42"/>
      <c r="X297" s="42"/>
      <c r="Y297" s="42"/>
      <c r="Z297" s="42"/>
      <c r="AA297" s="42"/>
      <c r="AB297" s="42"/>
      <c r="AC297" s="42"/>
      <c r="AD297" s="42"/>
      <c r="AE297" s="42"/>
      <c r="AF297" s="42" t="n">
        <v>11</v>
      </c>
    </row>
    <row r="298" customFormat="false" ht="11.25" hidden="false" customHeight="true" outlineLevel="0" collapsed="false">
      <c r="A298" s="679"/>
      <c r="B298" s="42"/>
      <c r="K298" s="42"/>
      <c r="N298" s="42"/>
      <c r="O298" s="42"/>
      <c r="P298" s="42"/>
      <c r="Q298" s="42"/>
      <c r="S298" s="42"/>
      <c r="T298" s="42"/>
      <c r="U298" s="42"/>
      <c r="V298" s="42"/>
      <c r="W298" s="42"/>
      <c r="X298" s="42"/>
      <c r="Y298" s="42"/>
      <c r="Z298" s="42"/>
      <c r="AA298" s="42"/>
      <c r="AB298" s="42"/>
      <c r="AC298" s="42"/>
      <c r="AD298" s="42"/>
      <c r="AE298" s="42"/>
      <c r="AF298" s="42" t="n">
        <v>11</v>
      </c>
    </row>
    <row r="299" customFormat="false" ht="11.25" hidden="false" customHeight="true" outlineLevel="0" collapsed="false">
      <c r="A299" s="679"/>
      <c r="B299" s="42"/>
      <c r="K299" s="42"/>
      <c r="N299" s="42"/>
      <c r="O299" s="42"/>
      <c r="P299" s="42"/>
      <c r="Q299" s="42"/>
      <c r="S299" s="42"/>
      <c r="T299" s="42"/>
      <c r="U299" s="42"/>
      <c r="V299" s="42"/>
      <c r="W299" s="42"/>
      <c r="X299" s="42"/>
      <c r="Y299" s="42"/>
      <c r="Z299" s="42"/>
      <c r="AA299" s="42"/>
      <c r="AB299" s="42"/>
      <c r="AC299" s="42"/>
      <c r="AD299" s="42"/>
      <c r="AE299" s="42"/>
      <c r="AF299" s="42" t="n">
        <v>11</v>
      </c>
    </row>
    <row r="300" customFormat="false" ht="11.25" hidden="false" customHeight="true" outlineLevel="0" collapsed="false">
      <c r="A300" s="679"/>
      <c r="B300" s="42"/>
      <c r="K300" s="42"/>
      <c r="N300" s="42"/>
      <c r="O300" s="42"/>
      <c r="P300" s="42"/>
      <c r="Q300" s="42"/>
      <c r="S300" s="42"/>
      <c r="T300" s="42"/>
      <c r="U300" s="42"/>
      <c r="V300" s="42"/>
      <c r="W300" s="42"/>
      <c r="X300" s="42"/>
      <c r="Y300" s="42"/>
      <c r="Z300" s="42"/>
      <c r="AA300" s="42"/>
      <c r="AB300" s="42"/>
      <c r="AC300" s="42"/>
      <c r="AD300" s="42"/>
      <c r="AE300" s="42"/>
      <c r="AF300" s="42" t="n">
        <v>11</v>
      </c>
    </row>
    <row r="301" customFormat="false" ht="11.25" hidden="false" customHeight="true" outlineLevel="0" collapsed="false">
      <c r="A301" s="679"/>
      <c r="B301" s="42"/>
      <c r="K301" s="42"/>
      <c r="N301" s="42"/>
      <c r="O301" s="42"/>
      <c r="P301" s="42"/>
      <c r="Q301" s="42"/>
      <c r="S301" s="42"/>
      <c r="T301" s="42"/>
      <c r="U301" s="42"/>
      <c r="V301" s="42"/>
      <c r="W301" s="42"/>
      <c r="X301" s="42"/>
      <c r="Y301" s="42"/>
      <c r="Z301" s="42"/>
      <c r="AA301" s="42"/>
      <c r="AB301" s="42"/>
      <c r="AC301" s="42"/>
      <c r="AD301" s="42"/>
      <c r="AE301" s="42"/>
      <c r="AF301" s="42" t="n">
        <v>11</v>
      </c>
    </row>
    <row r="302" customFormat="false" ht="11.25" hidden="false" customHeight="true" outlineLevel="0" collapsed="false">
      <c r="A302" s="679"/>
      <c r="B302" s="42"/>
      <c r="K302" s="42"/>
      <c r="N302" s="42"/>
      <c r="O302" s="42"/>
      <c r="P302" s="42"/>
      <c r="Q302" s="42"/>
      <c r="S302" s="42"/>
      <c r="T302" s="42"/>
      <c r="U302" s="42"/>
      <c r="V302" s="42"/>
      <c r="W302" s="42"/>
      <c r="X302" s="42"/>
      <c r="Y302" s="42"/>
      <c r="Z302" s="42"/>
      <c r="AA302" s="42"/>
      <c r="AB302" s="42"/>
      <c r="AC302" s="42"/>
      <c r="AD302" s="42"/>
      <c r="AE302" s="42"/>
      <c r="AF302" s="42" t="n">
        <v>11</v>
      </c>
    </row>
    <row r="303" customFormat="false" ht="11.25" hidden="true" customHeight="true" outlineLevel="0" collapsed="false">
      <c r="A303" s="608" t="s">
        <v>80</v>
      </c>
      <c r="B303" s="45" t="n">
        <v>0</v>
      </c>
      <c r="C303" s="49" t="n">
        <v>0</v>
      </c>
      <c r="D303" s="42" t="n">
        <v>3</v>
      </c>
      <c r="E303" s="42" t="n">
        <v>7</v>
      </c>
      <c r="F303" s="42" t="n">
        <v>54</v>
      </c>
      <c r="G303" s="42" t="n">
        <v>10</v>
      </c>
      <c r="H303" s="42" t="n">
        <v>0</v>
      </c>
      <c r="I303" s="42" t="n">
        <v>40</v>
      </c>
      <c r="J303" s="42" t="n">
        <v>102</v>
      </c>
      <c r="K303" s="45" t="n">
        <v>9</v>
      </c>
      <c r="L303" s="49" t="n">
        <v>5</v>
      </c>
      <c r="M303" s="49" t="n">
        <v>3</v>
      </c>
      <c r="N303" s="45" t="n">
        <v>3</v>
      </c>
      <c r="O303" s="45" t="n">
        <v>3</v>
      </c>
      <c r="P303" s="45" t="n">
        <v>3</v>
      </c>
      <c r="Q303" s="45" t="n">
        <v>3</v>
      </c>
      <c r="R303" s="49" t="n">
        <v>10</v>
      </c>
      <c r="S303" s="45" t="n">
        <v>34</v>
      </c>
      <c r="T303" s="45" t="n">
        <v>9</v>
      </c>
      <c r="U303" s="609" t="n">
        <v>8</v>
      </c>
      <c r="V303" s="45" t="n">
        <v>8</v>
      </c>
      <c r="W303" s="45" t="n">
        <v>8</v>
      </c>
      <c r="X303" s="45" t="n">
        <v>8</v>
      </c>
      <c r="Y303" s="45" t="n">
        <v>8</v>
      </c>
      <c r="Z303" s="45" t="n">
        <v>8</v>
      </c>
      <c r="AA303" s="48" t="n">
        <v>8</v>
      </c>
      <c r="AB303" s="48" t="n">
        <v>8</v>
      </c>
      <c r="AC303" s="48" t="n">
        <v>8</v>
      </c>
      <c r="AD303" s="48" t="n">
        <v>8</v>
      </c>
      <c r="AE303" s="48" t="n">
        <v>8</v>
      </c>
      <c r="AF303" s="42" t="n">
        <v>11</v>
      </c>
    </row>
  </sheetData>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1">
    <dataValidation allowBlank="true" error="Допускается ввод не более 900 символов!" errorStyle="stop" errorTitle="Ошибка" operator="lessThanOrEqual" showDropDown="false" showErrorMessage="true" showInputMessage="true" sqref="G4 H34:I34 H39:I39"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4:I6 H9:I13 H15:I15 H17:I17 H30:I30 H32:I33 H35:I38 H40:I65 H67:I67 H69:I69 H74:I74 H82:I86 H88:I89 H91:I94 H96:I119 H127:I127" type="decimal">
      <formula1>0</formula1>
      <formula2>9.99999999999999E+023</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H66:I66 H68:I68"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81:I81 H128:I130" type="textLength">
      <formula1>900</formula1>
      <formula2>0</formula2>
    </dataValidation>
    <dataValidation allowBlank="true" error="Введите значение от 0 до 100%" errorStyle="stop" errorTitle="Ошибка" operator="between" showDropDown="false" showErrorMessage="true" showInputMessage="false" sqref="H90:I90 H95:I95" type="decimal">
      <formula1>0</formula1>
      <formula2>100</formula2>
    </dataValidation>
    <dataValidation allowBlank="true" error="Допускается ввод только действительных чисел!" errorStyle="stop" errorTitle="Ошибка" operator="between" showDropDown="false" showErrorMessage="true" showInputMessage="false" sqref="H75:I80 H120:I120 H123:I123 H126:I126" type="decimal">
      <formula1>-9.99999999999999E+037</formula1>
      <formula2>9.99999999999999E+037</formula2>
    </dataValidation>
    <dataValidation allowBlank="true" error="Допускается ввод только действительных чисел!" errorStyle="stop" errorTitle="Ошибка" operator="between" showDropDown="false" showErrorMessage="true" showInputMessage="false" sqref="H72:I73" type="decimal">
      <formula1>-9.99999999999999E+023</formula1>
      <formula2>9.99999999999999E+023</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G93" type="list">
      <formula1>kind_of_volume_te_unit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2" type="list">
      <formula1>kind_of_fuels</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F10 F12 H70:I70"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7:I7" type="list">
      <formula1>kind_of_purchase_method</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CF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680" width="14.71"/>
    <col collapsed="false" customWidth="true" hidden="true" outlineLevel="0" max="2" min="2" style="48" width="17"/>
    <col collapsed="false" customWidth="true" hidden="false" outlineLevel="0" max="3" min="3" style="42" width="3"/>
    <col collapsed="false" customWidth="true" hidden="true" outlineLevel="0" max="4" min="4" style="42" width="1.85"/>
    <col collapsed="false" customWidth="true" hidden="false" outlineLevel="0" max="6" min="5" style="42" width="7"/>
    <col collapsed="false" customWidth="true" hidden="false" outlineLevel="0" max="7" min="7" style="42" width="29"/>
    <col collapsed="false" customWidth="true" hidden="false" outlineLevel="0" max="8" min="8" style="42" width="3.71"/>
    <col collapsed="false" customWidth="true" hidden="false" outlineLevel="0" max="9" min="9" style="42" width="5"/>
    <col collapsed="false" customWidth="true" hidden="false" outlineLevel="0" max="11" min="10" style="42" width="24"/>
    <col collapsed="false" customWidth="true" hidden="false" outlineLevel="0" max="12" min="12" style="42" width="3"/>
    <col collapsed="false" customWidth="true" hidden="false" outlineLevel="0" max="13" min="13" style="42" width="6"/>
    <col collapsed="false" customWidth="true" hidden="false" outlineLevel="0" max="14" min="14" style="42" width="25"/>
    <col collapsed="false" customWidth="true" hidden="false" outlineLevel="0" max="18" min="15" style="42" width="18"/>
    <col collapsed="false" customWidth="true" hidden="false" outlineLevel="0" max="19" min="19" style="42" width="93"/>
    <col collapsed="false" customWidth="true" hidden="false" outlineLevel="0" max="20" min="20" style="42" width="10"/>
    <col collapsed="false" customWidth="true" hidden="false" outlineLevel="0" max="21" min="21" style="49" width="10"/>
    <col collapsed="false" customWidth="true" hidden="false" outlineLevel="0" max="22" min="22" style="49" width="11"/>
    <col collapsed="false" customWidth="true" hidden="false" outlineLevel="0" max="27" min="23" style="48" width="10"/>
    <col collapsed="false" customWidth="true" hidden="false" outlineLevel="0" max="83" min="28" style="42" width="8"/>
    <col collapsed="false" customWidth="false" hidden="true" outlineLevel="0" max="84" min="84" style="42" width="9.15"/>
  </cols>
  <sheetData>
    <row r="1" customFormat="false" ht="22.5" hidden="true" customHeight="true" outlineLevel="0" collapsed="false">
      <c r="CF1" s="42" t="s">
        <v>14</v>
      </c>
    </row>
    <row r="2" customFormat="false" ht="11.25" hidden="true" customHeight="true" outlineLevel="0" collapsed="false">
      <c r="CF2" s="42" t="n">
        <v>0</v>
      </c>
    </row>
    <row r="3" customFormat="false" ht="11.25" hidden="true" customHeight="true" outlineLevel="0" collapsed="false">
      <c r="CF3" s="42" t="n">
        <v>0</v>
      </c>
    </row>
    <row r="4" customFormat="false" ht="3" hidden="false" customHeight="true" outlineLevel="0" collapsed="false">
      <c r="K4" s="132"/>
      <c r="L4" s="132"/>
      <c r="M4" s="132"/>
      <c r="CF4" s="42" t="n">
        <v>3</v>
      </c>
    </row>
    <row r="5" customFormat="false" ht="29.25" hidden="false" customHeight="true" outlineLevel="0" collapsed="false">
      <c r="D5" s="681"/>
      <c r="E5" s="215" t="str">
        <f aca="false">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5"/>
      <c r="G5" s="215"/>
      <c r="H5" s="215"/>
      <c r="I5" s="215"/>
      <c r="J5" s="215"/>
      <c r="K5" s="215"/>
      <c r="L5" s="43"/>
      <c r="M5" s="43"/>
      <c r="CF5" s="42" t="n">
        <v>28</v>
      </c>
    </row>
    <row r="6" s="42" customFormat="true" ht="16.5" hidden="false" customHeight="true" outlineLevel="0" collapsed="false">
      <c r="A6" s="680"/>
      <c r="B6" s="48"/>
      <c r="D6" s="682"/>
      <c r="E6" s="259" t="str">
        <f aca="false">IF(org=0,"Не определено",org)</f>
        <v>Филиал ПАО "ОГК-2" - Серовская ГРЭС, г. Серов</v>
      </c>
      <c r="F6" s="259"/>
      <c r="G6" s="259"/>
      <c r="H6" s="259"/>
      <c r="I6" s="259"/>
      <c r="J6" s="259"/>
      <c r="K6" s="259"/>
      <c r="L6" s="43"/>
      <c r="M6" s="43"/>
      <c r="U6" s="49"/>
      <c r="V6" s="49"/>
      <c r="W6" s="48"/>
      <c r="X6" s="48"/>
      <c r="Y6" s="48"/>
      <c r="Z6" s="48"/>
      <c r="AA6" s="48"/>
      <c r="CF6" s="42" t="n">
        <v>16</v>
      </c>
    </row>
    <row r="7" customFormat="false" ht="11.25" hidden="false" customHeight="true" outlineLevel="0" collapsed="false">
      <c r="G7" s="43"/>
      <c r="H7" s="43"/>
      <c r="I7" s="43"/>
      <c r="J7" s="43"/>
      <c r="K7" s="683"/>
      <c r="L7" s="683"/>
      <c r="M7" s="683"/>
      <c r="R7" s="290"/>
      <c r="CF7" s="42" t="n">
        <v>11</v>
      </c>
    </row>
    <row r="8" s="124" customFormat="true" ht="3.75" hidden="false" customHeight="true" outlineLevel="0" collapsed="false">
      <c r="A8" s="684"/>
      <c r="B8" s="47"/>
      <c r="G8" s="685"/>
      <c r="H8" s="685"/>
      <c r="I8" s="685"/>
      <c r="J8" s="685"/>
      <c r="K8" s="686"/>
      <c r="L8" s="686"/>
      <c r="M8" s="686"/>
      <c r="R8" s="687"/>
      <c r="U8" s="49"/>
      <c r="V8" s="49"/>
      <c r="W8" s="47"/>
      <c r="X8" s="47"/>
      <c r="Y8" s="47"/>
      <c r="Z8" s="47"/>
      <c r="AA8" s="47"/>
      <c r="CF8" s="124" t="n">
        <v>4</v>
      </c>
    </row>
    <row r="9" customFormat="false" ht="19.5" hidden="false" customHeight="true" outlineLevel="0" collapsed="false">
      <c r="D9" s="423"/>
      <c r="E9" s="138" t="s">
        <v>297</v>
      </c>
      <c r="F9" s="138"/>
      <c r="G9" s="138"/>
      <c r="H9" s="138"/>
      <c r="I9" s="138"/>
      <c r="J9" s="138"/>
      <c r="K9" s="138"/>
      <c r="L9" s="138"/>
      <c r="M9" s="138"/>
      <c r="N9" s="138"/>
      <c r="O9" s="138"/>
      <c r="P9" s="138"/>
      <c r="Q9" s="138"/>
      <c r="R9" s="138"/>
      <c r="S9" s="138" t="s">
        <v>298</v>
      </c>
      <c r="T9" s="688"/>
      <c r="CF9" s="42" t="n">
        <v>19</v>
      </c>
    </row>
    <row r="10" customFormat="false" ht="48" hidden="false" customHeight="true" outlineLevel="0" collapsed="false">
      <c r="D10" s="151" t="s">
        <v>86</v>
      </c>
      <c r="E10" s="138" t="s">
        <v>86</v>
      </c>
      <c r="F10" s="138"/>
      <c r="G10" s="150" t="s">
        <v>299</v>
      </c>
      <c r="H10" s="138" t="s">
        <v>86</v>
      </c>
      <c r="I10" s="138"/>
      <c r="J10" s="150" t="s">
        <v>599</v>
      </c>
      <c r="K10" s="150" t="s">
        <v>600</v>
      </c>
      <c r="L10" s="138" t="s">
        <v>86</v>
      </c>
      <c r="M10" s="138"/>
      <c r="N10" s="150" t="s">
        <v>601</v>
      </c>
      <c r="O10" s="150" t="s">
        <v>602</v>
      </c>
      <c r="P10" s="150" t="s">
        <v>603</v>
      </c>
      <c r="Q10" s="150" t="s">
        <v>604</v>
      </c>
      <c r="R10" s="150" t="s">
        <v>605</v>
      </c>
      <c r="S10" s="138"/>
      <c r="T10" s="688"/>
      <c r="CF10" s="42" t="n">
        <v>46</v>
      </c>
    </row>
    <row r="11" s="49" customFormat="true" ht="15" hidden="true" customHeight="true" outlineLevel="0" collapsed="false">
      <c r="A11" s="462"/>
      <c r="D11" s="462" t="s">
        <v>107</v>
      </c>
      <c r="E11" s="462"/>
      <c r="F11" s="462" t="s">
        <v>108</v>
      </c>
      <c r="G11" s="462" t="s">
        <v>88</v>
      </c>
      <c r="H11" s="462"/>
      <c r="I11" s="462" t="s">
        <v>89</v>
      </c>
      <c r="J11" s="462" t="s">
        <v>109</v>
      </c>
      <c r="K11" s="462" t="s">
        <v>90</v>
      </c>
      <c r="L11" s="462"/>
      <c r="M11" s="462" t="s">
        <v>91</v>
      </c>
      <c r="N11" s="462" t="s">
        <v>110</v>
      </c>
      <c r="O11" s="462" t="s">
        <v>147</v>
      </c>
      <c r="P11" s="462" t="s">
        <v>148</v>
      </c>
      <c r="Q11" s="462" t="s">
        <v>149</v>
      </c>
      <c r="R11" s="462" t="s">
        <v>150</v>
      </c>
      <c r="S11" s="462" t="s">
        <v>151</v>
      </c>
      <c r="CF11" s="49" t="n">
        <v>0</v>
      </c>
    </row>
    <row r="12" s="42" customFormat="true" ht="0.75" hidden="false" customHeight="true" outlineLevel="0" collapsed="false">
      <c r="A12" s="680"/>
      <c r="B12" s="48"/>
      <c r="D12" s="462"/>
      <c r="E12" s="118"/>
      <c r="F12" s="118"/>
      <c r="Q12" s="135"/>
      <c r="R12" s="689"/>
      <c r="T12" s="688"/>
      <c r="U12" s="49"/>
      <c r="V12" s="49"/>
      <c r="W12" s="48"/>
      <c r="X12" s="48"/>
      <c r="Y12" s="48"/>
      <c r="Z12" s="48"/>
      <c r="AA12" s="48"/>
      <c r="CF12" s="42" t="n">
        <v>1</v>
      </c>
    </row>
    <row r="13" s="124" customFormat="true" ht="0.75" hidden="false" customHeight="true" outlineLevel="0" collapsed="false">
      <c r="A13" s="684"/>
      <c r="B13" s="47"/>
      <c r="D13" s="462" t="s">
        <v>373</v>
      </c>
      <c r="E13" s="634"/>
      <c r="F13" s="634"/>
      <c r="G13" s="634"/>
      <c r="H13" s="634"/>
      <c r="I13" s="634"/>
      <c r="J13" s="634"/>
      <c r="K13" s="634"/>
      <c r="L13" s="634"/>
      <c r="M13" s="634"/>
      <c r="N13" s="634"/>
      <c r="O13" s="634"/>
      <c r="P13" s="634"/>
      <c r="Q13" s="634"/>
      <c r="R13" s="634"/>
      <c r="T13" s="688"/>
      <c r="U13" s="49"/>
      <c r="V13" s="49"/>
      <c r="W13" s="47"/>
      <c r="X13" s="47"/>
      <c r="Y13" s="47"/>
      <c r="Z13" s="47"/>
      <c r="AA13" s="47"/>
      <c r="CF13" s="124" t="n">
        <v>1</v>
      </c>
    </row>
    <row r="14" s="55" customFormat="true" ht="15" hidden="true" customHeight="true" outlineLevel="0" collapsed="false">
      <c r="A14" s="690" t="s">
        <v>115</v>
      </c>
      <c r="D14" s="565" t="s">
        <v>107</v>
      </c>
      <c r="E14" s="691" t="s">
        <v>103</v>
      </c>
      <c r="F14" s="691"/>
      <c r="G14" s="691"/>
      <c r="H14" s="692" t="str">
        <f aca="false">IF(A14="","",INDEX(DIFFERENTIATION_UNMERGE_VD,MATCH(A14,DIFFERENTIATION_ID_DIFF,0)))</f>
        <v>Водоотведение; Транспортировка</v>
      </c>
      <c r="I14" s="692"/>
      <c r="J14" s="692"/>
      <c r="K14" s="692"/>
      <c r="L14" s="692"/>
      <c r="M14" s="692"/>
      <c r="N14" s="692"/>
      <c r="O14" s="692"/>
      <c r="P14" s="692"/>
      <c r="Q14" s="692"/>
      <c r="R14" s="692"/>
      <c r="S14" s="693"/>
      <c r="T14" s="694"/>
      <c r="U14" s="160"/>
      <c r="V14" s="160"/>
      <c r="W14" s="56"/>
      <c r="X14" s="56"/>
      <c r="Y14" s="56"/>
      <c r="Z14" s="56"/>
      <c r="AA14" s="160"/>
      <c r="AB14" s="56"/>
      <c r="AC14" s="695"/>
      <c r="AD14" s="56"/>
      <c r="AE14" s="696"/>
      <c r="AF14" s="696"/>
      <c r="AG14" s="697" t="s">
        <v>606</v>
      </c>
      <c r="AH14" s="698" t="n">
        <v>3</v>
      </c>
      <c r="AI14" s="160"/>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N14" s="160"/>
      <c r="BO14" s="160"/>
      <c r="BP14" s="160"/>
      <c r="BQ14" s="160"/>
      <c r="BR14" s="160"/>
      <c r="BS14" s="160"/>
      <c r="BT14" s="160"/>
      <c r="BU14" s="160"/>
      <c r="BV14" s="56"/>
      <c r="BW14" s="56"/>
      <c r="BX14" s="56"/>
      <c r="BY14" s="56"/>
      <c r="BZ14" s="56"/>
      <c r="CA14" s="56"/>
      <c r="CB14" s="56"/>
      <c r="CC14" s="56"/>
      <c r="CD14" s="56"/>
      <c r="CE14" s="56"/>
      <c r="CF14" s="55" t="n">
        <v>0</v>
      </c>
    </row>
    <row r="15" s="55" customFormat="true" ht="15" hidden="true" customHeight="true" outlineLevel="0" collapsed="false">
      <c r="A15" s="690"/>
      <c r="D15" s="565"/>
      <c r="E15" s="691" t="s">
        <v>561</v>
      </c>
      <c r="F15" s="691"/>
      <c r="G15" s="691"/>
      <c r="H15" s="692" t="str">
        <f aca="false">IF(A14="","",INDEX(DIFFERENTIATION_UNMERGE_AREA,MATCH(A14,DIFFERENTIATION_ID_DIFF,0)))</f>
        <v>Территория 1</v>
      </c>
      <c r="I15" s="692"/>
      <c r="J15" s="692"/>
      <c r="K15" s="692"/>
      <c r="L15" s="692"/>
      <c r="M15" s="692"/>
      <c r="N15" s="692"/>
      <c r="O15" s="692"/>
      <c r="P15" s="692"/>
      <c r="Q15" s="692"/>
      <c r="R15" s="692"/>
      <c r="S15" s="693"/>
      <c r="T15" s="694"/>
      <c r="U15" s="160"/>
      <c r="V15" s="160"/>
      <c r="W15" s="56"/>
      <c r="X15" s="56"/>
      <c r="Y15" s="56"/>
      <c r="Z15" s="56"/>
      <c r="AA15" s="160"/>
      <c r="AB15" s="56"/>
      <c r="AC15" s="695"/>
      <c r="AD15" s="56"/>
      <c r="AE15" s="696"/>
      <c r="AF15" s="696"/>
      <c r="AG15" s="697"/>
      <c r="AH15" s="698"/>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N15" s="160"/>
      <c r="BO15" s="160"/>
      <c r="BP15" s="160"/>
      <c r="BQ15" s="160"/>
      <c r="BR15" s="160"/>
      <c r="BS15" s="160"/>
      <c r="BT15" s="160"/>
      <c r="BU15" s="160"/>
      <c r="BV15" s="56"/>
      <c r="BW15" s="56"/>
      <c r="BX15" s="56"/>
      <c r="BY15" s="56"/>
      <c r="BZ15" s="56"/>
      <c r="CA15" s="56"/>
      <c r="CB15" s="56"/>
      <c r="CC15" s="56"/>
      <c r="CD15" s="56"/>
      <c r="CE15" s="56"/>
      <c r="CF15" s="55" t="n">
        <v>0</v>
      </c>
    </row>
    <row r="16" s="55" customFormat="true" ht="15" hidden="true" customHeight="true" outlineLevel="0" collapsed="false">
      <c r="A16" s="690"/>
      <c r="D16" s="565"/>
      <c r="E16" s="691" t="s">
        <v>562</v>
      </c>
      <c r="F16" s="691"/>
      <c r="G16" s="691"/>
      <c r="H16" s="692" t="str">
        <f aca="false">IF(A14="","",INDEX(DIFFERENTIATION_UNMERGE_SYSTEM,MATCH(A14,DIFFERENTIATION_ID_DIFF,0)))</f>
        <v>без дифференциации</v>
      </c>
      <c r="I16" s="692"/>
      <c r="J16" s="692"/>
      <c r="K16" s="692"/>
      <c r="L16" s="692"/>
      <c r="M16" s="692"/>
      <c r="N16" s="692"/>
      <c r="O16" s="692"/>
      <c r="P16" s="692"/>
      <c r="Q16" s="692"/>
      <c r="R16" s="692"/>
      <c r="S16" s="693"/>
      <c r="T16" s="694"/>
      <c r="U16" s="160"/>
      <c r="V16" s="160"/>
      <c r="W16" s="56"/>
      <c r="X16" s="56"/>
      <c r="Y16" s="56"/>
      <c r="Z16" s="56"/>
      <c r="AA16" s="160"/>
      <c r="AB16" s="56"/>
      <c r="AC16" s="695"/>
      <c r="AD16" s="56"/>
      <c r="AE16" s="696"/>
      <c r="AF16" s="696"/>
      <c r="AG16" s="697"/>
      <c r="AH16" s="698"/>
      <c r="AI16" s="160"/>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N16" s="160"/>
      <c r="BO16" s="160"/>
      <c r="BP16" s="160"/>
      <c r="BQ16" s="160"/>
      <c r="BR16" s="160"/>
      <c r="BS16" s="160"/>
      <c r="BT16" s="160"/>
      <c r="BU16" s="160"/>
      <c r="BV16" s="56"/>
      <c r="BW16" s="56"/>
      <c r="BX16" s="56"/>
      <c r="BY16" s="56"/>
      <c r="BZ16" s="56"/>
      <c r="CA16" s="56"/>
      <c r="CB16" s="56"/>
      <c r="CC16" s="56"/>
      <c r="CD16" s="56"/>
      <c r="CE16" s="56"/>
      <c r="CF16" s="55" t="n">
        <v>0</v>
      </c>
    </row>
    <row r="17" s="55" customFormat="true" ht="22.5" hidden="true" customHeight="true" outlineLevel="0" collapsed="false">
      <c r="A17" s="107"/>
      <c r="B17" s="45"/>
      <c r="C17" s="161"/>
      <c r="D17" s="565"/>
      <c r="E17" s="699" t="s">
        <v>607</v>
      </c>
      <c r="F17" s="699"/>
      <c r="G17" s="699"/>
      <c r="H17" s="699"/>
      <c r="I17" s="699"/>
      <c r="J17" s="699"/>
      <c r="K17" s="699"/>
      <c r="L17" s="699"/>
      <c r="M17" s="699"/>
      <c r="N17" s="699"/>
      <c r="O17" s="699"/>
      <c r="P17" s="699"/>
      <c r="Q17" s="631" t="n">
        <f aca="false">SUMIF(T18:T19,"i",Q18:Q19)</f>
        <v>0</v>
      </c>
      <c r="R17" s="700"/>
      <c r="S17" s="629" t="s">
        <v>608</v>
      </c>
      <c r="T17" s="694" t="s">
        <v>609</v>
      </c>
      <c r="U17" s="125" t="n">
        <v>1</v>
      </c>
      <c r="V17" s="125" t="str">
        <f aca="false">INDEX(B_FHD_FLAG_INDEX_1,1,MATCH(A14,B_FHD_FLAG_DIFFERENTIATION,0))</f>
        <v>отсутствует</v>
      </c>
      <c r="W17" s="45"/>
      <c r="X17" s="45"/>
      <c r="Y17" s="45"/>
      <c r="Z17" s="45"/>
      <c r="AA17" s="49"/>
      <c r="AB17" s="45"/>
      <c r="AC17" s="695"/>
      <c r="AD17" s="56"/>
      <c r="AE17" s="45"/>
      <c r="AF17" s="45"/>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5"/>
      <c r="BW17" s="45"/>
      <c r="BX17" s="45"/>
      <c r="BY17" s="45"/>
      <c r="BZ17" s="45"/>
      <c r="CA17" s="45"/>
      <c r="CB17" s="45"/>
      <c r="CC17" s="45"/>
      <c r="CD17" s="45"/>
      <c r="CE17" s="45"/>
      <c r="CF17" s="55" t="n">
        <v>0</v>
      </c>
    </row>
    <row r="18" s="55" customFormat="true" ht="11.25" hidden="true" customHeight="true" outlineLevel="0" collapsed="false">
      <c r="A18" s="125"/>
      <c r="B18" s="49"/>
      <c r="C18" s="49"/>
      <c r="D18" s="565"/>
      <c r="E18" s="299"/>
      <c r="F18" s="299" t="n">
        <v>0</v>
      </c>
      <c r="G18" s="299"/>
      <c r="H18" s="299"/>
      <c r="I18" s="299"/>
      <c r="J18" s="299"/>
      <c r="K18" s="299"/>
      <c r="L18" s="299"/>
      <c r="M18" s="299"/>
      <c r="N18" s="299"/>
      <c r="O18" s="299"/>
      <c r="P18" s="299"/>
      <c r="Q18" s="299"/>
      <c r="R18" s="299"/>
      <c r="S18" s="298"/>
      <c r="T18" s="701"/>
      <c r="U18" s="125"/>
      <c r="V18" s="125"/>
      <c r="W18" s="49"/>
      <c r="X18" s="49"/>
      <c r="Y18" s="49"/>
      <c r="Z18" s="49"/>
      <c r="AA18" s="49"/>
      <c r="AB18" s="45"/>
      <c r="AC18" s="695"/>
      <c r="AD18" s="56"/>
      <c r="AE18" s="45"/>
      <c r="AF18" s="45"/>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55" t="n">
        <v>0</v>
      </c>
    </row>
    <row r="19" s="55" customFormat="true" ht="11.25" hidden="true" customHeight="true" outlineLevel="0" collapsed="false">
      <c r="A19" s="107"/>
      <c r="B19" s="45"/>
      <c r="C19" s="161"/>
      <c r="D19" s="565"/>
      <c r="E19" s="550"/>
      <c r="F19" s="165"/>
      <c r="G19" s="165"/>
      <c r="H19" s="170"/>
      <c r="I19" s="170"/>
      <c r="J19" s="170"/>
      <c r="K19" s="170"/>
      <c r="L19" s="170"/>
      <c r="M19" s="170"/>
      <c r="N19" s="170"/>
      <c r="O19" s="170"/>
      <c r="P19" s="170"/>
      <c r="Q19" s="170"/>
      <c r="R19" s="209"/>
      <c r="S19" s="699"/>
      <c r="T19" s="701"/>
      <c r="U19" s="125"/>
      <c r="V19" s="125"/>
      <c r="W19" s="45"/>
      <c r="X19" s="45"/>
      <c r="Y19" s="45"/>
      <c r="Z19" s="45"/>
      <c r="AA19" s="49"/>
      <c r="AB19" s="45"/>
      <c r="AC19" s="695"/>
      <c r="AD19" s="56"/>
      <c r="AE19" s="45"/>
      <c r="AF19" s="45"/>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5"/>
      <c r="BW19" s="45"/>
      <c r="BX19" s="45"/>
      <c r="BY19" s="45"/>
      <c r="BZ19" s="45"/>
      <c r="CA19" s="45"/>
      <c r="CB19" s="45"/>
      <c r="CC19" s="45"/>
      <c r="CD19" s="45"/>
      <c r="CE19" s="45"/>
      <c r="CF19" s="55" t="n">
        <v>0</v>
      </c>
    </row>
    <row r="20" s="55" customFormat="true" ht="22.5" hidden="true" customHeight="true" outlineLevel="0" collapsed="false">
      <c r="A20" s="107"/>
      <c r="B20" s="45"/>
      <c r="C20" s="161"/>
      <c r="D20" s="565"/>
      <c r="E20" s="699" t="s">
        <v>610</v>
      </c>
      <c r="F20" s="699"/>
      <c r="G20" s="699"/>
      <c r="H20" s="699"/>
      <c r="I20" s="699"/>
      <c r="J20" s="699"/>
      <c r="K20" s="699"/>
      <c r="L20" s="699"/>
      <c r="M20" s="699"/>
      <c r="N20" s="699"/>
      <c r="O20" s="699"/>
      <c r="P20" s="699"/>
      <c r="Q20" s="631" t="n">
        <f aca="false">SUMIF(T21:T22,"i",Q21:Q22)</f>
        <v>0</v>
      </c>
      <c r="R20" s="700"/>
      <c r="S20" s="629" t="s">
        <v>611</v>
      </c>
      <c r="T20" s="694" t="s">
        <v>609</v>
      </c>
      <c r="U20" s="125" t="n">
        <v>2</v>
      </c>
      <c r="V20" s="125" t="str">
        <f aca="false">INDEX(B_FHD_FLAG_INDEX_2,1,MATCH(A14,B_FHD_FLAG_DIFFERENTIATION,0))</f>
        <v>отсутствует</v>
      </c>
      <c r="W20" s="45"/>
      <c r="X20" s="45"/>
      <c r="Y20" s="45"/>
      <c r="Z20" s="45"/>
      <c r="AA20" s="49"/>
      <c r="AB20" s="45"/>
      <c r="AC20" s="695"/>
      <c r="AD20" s="56"/>
      <c r="AE20" s="45"/>
      <c r="AF20" s="45"/>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5"/>
      <c r="BW20" s="45"/>
      <c r="BX20" s="45"/>
      <c r="BY20" s="45"/>
      <c r="BZ20" s="45"/>
      <c r="CA20" s="45"/>
      <c r="CB20" s="45"/>
      <c r="CC20" s="45"/>
      <c r="CD20" s="45"/>
      <c r="CE20" s="45"/>
      <c r="CF20" s="55" t="n">
        <v>0</v>
      </c>
    </row>
    <row r="21" s="55" customFormat="true" ht="11.25" hidden="true" customHeight="true" outlineLevel="0" collapsed="false">
      <c r="A21" s="125"/>
      <c r="B21" s="49"/>
      <c r="C21" s="49"/>
      <c r="D21" s="565"/>
      <c r="E21" s="299"/>
      <c r="F21" s="299" t="n">
        <v>0</v>
      </c>
      <c r="G21" s="299"/>
      <c r="H21" s="299"/>
      <c r="I21" s="299"/>
      <c r="J21" s="299"/>
      <c r="K21" s="299"/>
      <c r="L21" s="299"/>
      <c r="M21" s="299"/>
      <c r="N21" s="299"/>
      <c r="O21" s="299"/>
      <c r="P21" s="299"/>
      <c r="Q21" s="299"/>
      <c r="R21" s="299"/>
      <c r="S21" s="298"/>
      <c r="T21" s="701"/>
      <c r="U21" s="125"/>
      <c r="V21" s="125"/>
      <c r="W21" s="49"/>
      <c r="X21" s="49"/>
      <c r="Y21" s="49"/>
      <c r="Z21" s="49"/>
      <c r="AA21" s="49"/>
      <c r="AB21" s="45"/>
      <c r="AC21" s="695"/>
      <c r="AD21" s="56"/>
      <c r="AE21" s="45"/>
      <c r="AF21" s="45"/>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55" t="n">
        <v>0</v>
      </c>
    </row>
    <row r="22" s="55" customFormat="true" ht="11.25" hidden="true" customHeight="true" outlineLevel="0" collapsed="false">
      <c r="A22" s="107"/>
      <c r="B22" s="45"/>
      <c r="C22" s="161"/>
      <c r="D22" s="565"/>
      <c r="E22" s="550"/>
      <c r="F22" s="165"/>
      <c r="G22" s="165"/>
      <c r="H22" s="170"/>
      <c r="I22" s="170"/>
      <c r="J22" s="170"/>
      <c r="K22" s="170"/>
      <c r="L22" s="170"/>
      <c r="M22" s="170"/>
      <c r="N22" s="170"/>
      <c r="O22" s="170"/>
      <c r="P22" s="170"/>
      <c r="Q22" s="170"/>
      <c r="R22" s="209"/>
      <c r="S22" s="699"/>
      <c r="T22" s="701"/>
      <c r="U22" s="125"/>
      <c r="V22" s="125"/>
      <c r="W22" s="45"/>
      <c r="X22" s="45"/>
      <c r="Y22" s="45"/>
      <c r="Z22" s="45"/>
      <c r="AA22" s="49"/>
      <c r="AB22" s="45"/>
      <c r="AC22" s="695"/>
      <c r="AD22" s="56"/>
      <c r="AE22" s="45"/>
      <c r="AF22" s="45"/>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5"/>
      <c r="BW22" s="45"/>
      <c r="BX22" s="45"/>
      <c r="BY22" s="45"/>
      <c r="BZ22" s="45"/>
      <c r="CA22" s="45"/>
      <c r="CB22" s="45"/>
      <c r="CC22" s="45"/>
      <c r="CD22" s="45"/>
      <c r="CE22" s="45"/>
      <c r="CF22" s="55" t="n">
        <v>0</v>
      </c>
    </row>
    <row r="23" customFormat="false" ht="19.5" hidden="false" customHeight="true" outlineLevel="0" collapsed="false">
      <c r="D23" s="702"/>
      <c r="E23" s="702"/>
      <c r="F23" s="702"/>
      <c r="G23" s="702"/>
      <c r="H23" s="702"/>
      <c r="I23" s="702"/>
      <c r="J23" s="702"/>
      <c r="K23" s="702"/>
      <c r="L23" s="702"/>
      <c r="M23" s="702"/>
      <c r="N23" s="702"/>
      <c r="O23" s="702"/>
      <c r="P23" s="702"/>
      <c r="Q23" s="702"/>
      <c r="R23" s="702"/>
      <c r="S23" s="702"/>
      <c r="T23" s="688"/>
      <c r="CF23" s="42" t="n">
        <v>19</v>
      </c>
    </row>
    <row r="24" customFormat="false" ht="11.25" hidden="false" customHeight="true" outlineLevel="0" collapsed="false">
      <c r="CF24" s="42" t="n">
        <v>11</v>
      </c>
    </row>
    <row r="25" customFormat="false" ht="11.25" hidden="false" customHeight="true" outlineLevel="0" collapsed="false">
      <c r="D25" s="132"/>
      <c r="E25" s="132"/>
      <c r="F25" s="132"/>
      <c r="G25" s="177"/>
      <c r="CF25" s="42" t="n">
        <v>11</v>
      </c>
    </row>
    <row r="26" customFormat="false" ht="11.25" hidden="false" customHeight="true" outlineLevel="0" collapsed="false">
      <c r="CF26" s="42" t="n">
        <v>11</v>
      </c>
    </row>
    <row r="27" customFormat="false" ht="11.25" hidden="false" customHeight="true" outlineLevel="0" collapsed="false">
      <c r="D27" s="341"/>
      <c r="E27" s="703"/>
      <c r="F27" s="703"/>
      <c r="G27" s="703"/>
      <c r="H27" s="703"/>
      <c r="I27" s="703"/>
      <c r="J27" s="703"/>
      <c r="K27" s="703"/>
      <c r="L27" s="703"/>
      <c r="M27" s="703"/>
      <c r="N27" s="703"/>
      <c r="O27" s="703"/>
      <c r="P27" s="703"/>
      <c r="Q27" s="703"/>
      <c r="R27" s="703"/>
      <c r="CF27" s="42" t="n">
        <v>11</v>
      </c>
    </row>
    <row r="28" customFormat="false" ht="11.25" hidden="false" customHeight="true" outlineLevel="0" collapsed="false">
      <c r="CF28" s="42" t="n">
        <v>11</v>
      </c>
    </row>
    <row r="29" customFormat="false" ht="11.25" hidden="true" customHeight="true" outlineLevel="0" collapsed="false">
      <c r="A29" s="680" t="s">
        <v>80</v>
      </c>
      <c r="B29" s="48" t="n">
        <v>0</v>
      </c>
      <c r="C29" s="42" t="n">
        <v>3</v>
      </c>
      <c r="D29" s="42" t="n">
        <v>0</v>
      </c>
      <c r="E29" s="42" t="n">
        <v>7</v>
      </c>
      <c r="F29" s="42" t="n">
        <v>7</v>
      </c>
      <c r="G29" s="42" t="n">
        <v>29</v>
      </c>
      <c r="H29" s="42" t="n">
        <v>3</v>
      </c>
      <c r="I29" s="42" t="n">
        <v>5</v>
      </c>
      <c r="J29" s="42" t="n">
        <v>24</v>
      </c>
      <c r="K29" s="42" t="n">
        <v>24</v>
      </c>
      <c r="L29" s="42" t="n">
        <v>3</v>
      </c>
      <c r="M29" s="42" t="n">
        <v>6</v>
      </c>
      <c r="N29" s="42" t="n">
        <v>25</v>
      </c>
      <c r="O29" s="42" t="n">
        <v>18</v>
      </c>
      <c r="P29" s="42" t="n">
        <v>18</v>
      </c>
      <c r="Q29" s="42" t="n">
        <v>18</v>
      </c>
      <c r="R29" s="42" t="n">
        <v>18</v>
      </c>
      <c r="S29" s="42" t="n">
        <v>93</v>
      </c>
      <c r="T29" s="42" t="n">
        <v>10</v>
      </c>
      <c r="U29" s="49" t="n">
        <v>10</v>
      </c>
      <c r="V29" s="49" t="n">
        <v>11</v>
      </c>
      <c r="W29" s="48" t="n">
        <v>10</v>
      </c>
      <c r="X29" s="48" t="n">
        <v>10</v>
      </c>
      <c r="Y29" s="48" t="n">
        <v>10</v>
      </c>
      <c r="Z29" s="48" t="n">
        <v>10</v>
      </c>
      <c r="AA29" s="48" t="n">
        <v>10</v>
      </c>
      <c r="AB29" s="42" t="n">
        <v>8</v>
      </c>
      <c r="AC29" s="42" t="n">
        <v>8</v>
      </c>
      <c r="AD29" s="42" t="n">
        <v>8</v>
      </c>
      <c r="AE29" s="42" t="n">
        <v>8</v>
      </c>
      <c r="AF29" s="42" t="n">
        <v>8</v>
      </c>
      <c r="AG29" s="42" t="n">
        <v>8</v>
      </c>
      <c r="AH29" s="42" t="n">
        <v>8</v>
      </c>
      <c r="AI29" s="42" t="n">
        <v>8</v>
      </c>
      <c r="AJ29" s="42" t="n">
        <v>8</v>
      </c>
      <c r="AK29" s="42" t="n">
        <v>8</v>
      </c>
      <c r="AL29" s="42" t="n">
        <v>8</v>
      </c>
      <c r="AM29" s="42" t="n">
        <v>8</v>
      </c>
      <c r="AN29" s="42" t="n">
        <v>8</v>
      </c>
      <c r="AO29" s="42" t="n">
        <v>8</v>
      </c>
      <c r="AP29" s="42" t="n">
        <v>8</v>
      </c>
      <c r="AQ29" s="42" t="n">
        <v>8</v>
      </c>
      <c r="AR29" s="42" t="n">
        <v>8</v>
      </c>
      <c r="AS29" s="42" t="n">
        <v>8</v>
      </c>
      <c r="AT29" s="42" t="n">
        <v>8</v>
      </c>
      <c r="AU29" s="42" t="n">
        <v>8</v>
      </c>
      <c r="AV29" s="42" t="n">
        <v>8</v>
      </c>
      <c r="AW29" s="42" t="n">
        <v>8</v>
      </c>
      <c r="AX29" s="42" t="n">
        <v>8</v>
      </c>
      <c r="AY29" s="42" t="n">
        <v>8</v>
      </c>
      <c r="AZ29" s="42" t="n">
        <v>8</v>
      </c>
      <c r="BA29" s="42" t="n">
        <v>8</v>
      </c>
      <c r="BB29" s="42" t="n">
        <v>8</v>
      </c>
      <c r="BC29" s="42" t="n">
        <v>8</v>
      </c>
      <c r="BD29" s="42" t="n">
        <v>8</v>
      </c>
      <c r="BE29" s="42" t="n">
        <v>8</v>
      </c>
      <c r="BF29" s="42" t="n">
        <v>8</v>
      </c>
      <c r="BG29" s="42" t="n">
        <v>8</v>
      </c>
      <c r="BH29" s="42" t="n">
        <v>8</v>
      </c>
      <c r="BI29" s="42" t="n">
        <v>8</v>
      </c>
      <c r="BJ29" s="42" t="n">
        <v>8</v>
      </c>
      <c r="BK29" s="42" t="n">
        <v>8</v>
      </c>
      <c r="BL29" s="42" t="n">
        <v>8</v>
      </c>
      <c r="BM29" s="42" t="n">
        <v>8</v>
      </c>
      <c r="BN29" s="42" t="n">
        <v>8</v>
      </c>
      <c r="BO29" s="42" t="n">
        <v>8</v>
      </c>
      <c r="BP29" s="42" t="n">
        <v>8</v>
      </c>
      <c r="BQ29" s="42" t="n">
        <v>8</v>
      </c>
      <c r="BR29" s="42" t="n">
        <v>8</v>
      </c>
      <c r="BS29" s="42" t="n">
        <v>8</v>
      </c>
      <c r="BT29" s="42" t="n">
        <v>8</v>
      </c>
      <c r="BU29" s="42" t="n">
        <v>8</v>
      </c>
      <c r="BV29" s="42" t="n">
        <v>8</v>
      </c>
      <c r="BW29" s="42" t="n">
        <v>8</v>
      </c>
      <c r="BX29" s="42" t="n">
        <v>8</v>
      </c>
      <c r="BY29" s="42" t="n">
        <v>8</v>
      </c>
      <c r="BZ29" s="42" t="n">
        <v>8</v>
      </c>
      <c r="CA29" s="42" t="n">
        <v>8</v>
      </c>
      <c r="CB29" s="42" t="n">
        <v>8</v>
      </c>
      <c r="CC29" s="42" t="n">
        <v>8</v>
      </c>
      <c r="CD29" s="42" t="n">
        <v>8</v>
      </c>
      <c r="CE29" s="42" t="n">
        <v>8</v>
      </c>
      <c r="CF29" s="42" t="n">
        <v>11</v>
      </c>
    </row>
  </sheetData>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K20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5" min="1" style="608" width="10.71"/>
    <col collapsed="false" customWidth="true" hidden="true" outlineLevel="0" max="6" min="6" style="45" width="16.86"/>
    <col collapsed="false" customWidth="true" hidden="true" outlineLevel="0" max="7" min="7" style="49" width="5.57"/>
    <col collapsed="false" customWidth="true" hidden="false" outlineLevel="0" max="8" min="8" style="42" width="3"/>
    <col collapsed="false" customWidth="true" hidden="false" outlineLevel="0" max="9" min="9" style="42" width="7"/>
    <col collapsed="false" customWidth="true" hidden="false" outlineLevel="0" max="10" min="10" style="42" width="56"/>
    <col collapsed="false" customWidth="true" hidden="false" outlineLevel="0" max="11" min="11" style="42" width="10"/>
    <col collapsed="false" customWidth="true" hidden="true" outlineLevel="0" max="12" min="12" style="42" width="40.57"/>
    <col collapsed="false" customWidth="true" hidden="false" outlineLevel="0" max="13" min="13" style="42" width="40.71"/>
    <col collapsed="false" customWidth="true" hidden="true" outlineLevel="0" max="14" min="14" style="45" width="9.71"/>
    <col collapsed="false" customWidth="true" hidden="false" outlineLevel="0" max="15" min="15" style="42" width="102"/>
    <col collapsed="false" customWidth="true" hidden="false" outlineLevel="0" max="16" min="16" style="45" width="9"/>
    <col collapsed="false" customWidth="true" hidden="false" outlineLevel="0" max="17" min="17" style="49" width="5"/>
    <col collapsed="false" customWidth="true" hidden="false" outlineLevel="0" max="18" min="18" style="49" width="3"/>
    <col collapsed="false" customWidth="true" hidden="false" outlineLevel="0" max="22" min="19" style="45" width="3"/>
    <col collapsed="false" customWidth="true" hidden="false" outlineLevel="0" max="23" min="23" style="49" width="10"/>
    <col collapsed="false" customWidth="true" hidden="false" outlineLevel="0" max="24" min="24" style="45" width="34"/>
    <col collapsed="false" customWidth="true" hidden="false" outlineLevel="0" max="25" min="25" style="45" width="9"/>
    <col collapsed="false" customWidth="true" hidden="false" outlineLevel="0" max="26" min="26" style="609" width="8"/>
    <col collapsed="false" customWidth="true" hidden="false" outlineLevel="0" max="31" min="27" style="45" width="8"/>
    <col collapsed="false" customWidth="true" hidden="false" outlineLevel="0" max="36" min="32" style="48" width="8"/>
    <col collapsed="false" customWidth="true" hidden="true" outlineLevel="0" max="37" min="37" style="42" width="5.43"/>
  </cols>
  <sheetData>
    <row r="1" s="45" customFormat="true" ht="33.75" hidden="true" customHeight="true" outlineLevel="0" collapsed="false">
      <c r="A1" s="608"/>
      <c r="B1" s="608"/>
      <c r="C1" s="608"/>
      <c r="D1" s="608"/>
      <c r="E1" s="608"/>
      <c r="G1" s="49"/>
      <c r="L1" s="45" t="n">
        <v>4</v>
      </c>
      <c r="M1" s="45" t="n">
        <v>4</v>
      </c>
      <c r="Q1" s="49"/>
      <c r="R1" s="49"/>
      <c r="W1" s="49"/>
      <c r="AK1" s="45" t="s">
        <v>14</v>
      </c>
    </row>
    <row r="2" s="45" customFormat="true" ht="78.75" hidden="true" customHeight="true" outlineLevel="0" collapsed="false">
      <c r="A2" s="608"/>
      <c r="B2" s="704" t="s">
        <v>612</v>
      </c>
      <c r="C2" s="704" t="s">
        <v>613</v>
      </c>
      <c r="D2" s="705" t="s">
        <v>614</v>
      </c>
      <c r="E2" s="706" t="e">
        <f aca="false">RIGHT(I2,LEN(I2)-SEARCH("#",SUBSTITUTE(I2,".","#",LEN(I2)-LEN(SUBSTITUTE(I2,".","")))))</f>
        <v>#VALUE!</v>
      </c>
      <c r="F2" s="706" t="n">
        <f aca="false">J2</f>
        <v>0</v>
      </c>
      <c r="G2" s="49"/>
      <c r="H2" s="191"/>
      <c r="I2" s="200"/>
      <c r="J2" s="152"/>
      <c r="K2" s="506" t="s">
        <v>553</v>
      </c>
      <c r="L2" s="441"/>
      <c r="M2" s="441"/>
      <c r="N2" s="613"/>
      <c r="O2" s="423" t="s">
        <v>554</v>
      </c>
      <c r="P2" s="613"/>
      <c r="Q2" s="49"/>
      <c r="R2" s="49"/>
      <c r="W2" s="49"/>
      <c r="Z2" s="609"/>
      <c r="AF2" s="48"/>
      <c r="AG2" s="48"/>
      <c r="AH2" s="48"/>
      <c r="AI2" s="48"/>
      <c r="AJ2" s="48"/>
      <c r="AK2" s="45" t="n">
        <v>0</v>
      </c>
    </row>
    <row r="3" customFormat="false" ht="11.25" hidden="true" customHeight="true" outlineLevel="0" collapsed="false">
      <c r="E3" s="707" t="s">
        <v>615</v>
      </c>
      <c r="L3" s="42" t="n">
        <f aca="false">0</f>
        <v>0</v>
      </c>
      <c r="M3" s="42" t="n">
        <v>1</v>
      </c>
      <c r="AK3" s="42" t="n">
        <v>0</v>
      </c>
    </row>
    <row r="4" s="48" customFormat="true" ht="11.25" hidden="true" customHeight="true" outlineLevel="0" collapsed="false">
      <c r="A4" s="608"/>
      <c r="B4" s="608"/>
      <c r="C4" s="608"/>
      <c r="E4" s="608"/>
      <c r="F4" s="45"/>
      <c r="G4" s="49"/>
      <c r="N4" s="45"/>
      <c r="O4" s="48" t="n">
        <v>4</v>
      </c>
      <c r="P4" s="45"/>
      <c r="Q4" s="49"/>
      <c r="R4" s="49"/>
      <c r="S4" s="45"/>
      <c r="T4" s="45"/>
      <c r="U4" s="45"/>
      <c r="V4" s="45"/>
      <c r="W4" s="49"/>
      <c r="X4" s="45"/>
      <c r="Y4" s="45"/>
      <c r="Z4" s="609"/>
      <c r="AA4" s="45"/>
      <c r="AB4" s="45"/>
      <c r="AC4" s="45"/>
      <c r="AD4" s="45"/>
      <c r="AE4" s="45"/>
      <c r="AK4" s="48" t="n">
        <v>0</v>
      </c>
    </row>
    <row r="5" customFormat="false" ht="11.25" hidden="false" customHeight="true" outlineLevel="0" collapsed="false">
      <c r="AK5" s="42" t="n">
        <v>11</v>
      </c>
    </row>
    <row r="6" customFormat="false" ht="57.75" hidden="false" customHeight="true" outlineLevel="0" collapsed="false">
      <c r="I6" s="254" t="s">
        <v>616</v>
      </c>
      <c r="J6" s="254"/>
      <c r="K6" s="254"/>
      <c r="L6" s="254"/>
      <c r="M6" s="254"/>
      <c r="O6" s="217"/>
      <c r="AK6" s="42" t="n">
        <v>55</v>
      </c>
    </row>
    <row r="7" customFormat="false" ht="24.75" hidden="false" customHeight="true" outlineLevel="0" collapsed="false">
      <c r="I7" s="259" t="str">
        <f aca="false">IF(org=0,"Не определено",org)</f>
        <v>Филиал ПАО "ОГК-2" - Серовская ГРЭС, г. Серов</v>
      </c>
      <c r="J7" s="259"/>
      <c r="K7" s="259"/>
      <c r="L7" s="259"/>
      <c r="M7" s="259"/>
      <c r="AK7" s="42" t="n">
        <v>24</v>
      </c>
    </row>
    <row r="8" customFormat="false" ht="11.25" hidden="false" customHeight="true" outlineLevel="0" collapsed="false">
      <c r="I8" s="622"/>
      <c r="J8" s="622"/>
      <c r="K8" s="622"/>
      <c r="L8" s="622"/>
      <c r="M8" s="622"/>
      <c r="AK8" s="42" t="n">
        <v>11</v>
      </c>
    </row>
    <row r="9" s="49" customFormat="true" ht="30" hidden="true" customHeight="true" outlineLevel="0" collapsed="false">
      <c r="A9" s="462"/>
      <c r="B9" s="462"/>
      <c r="C9" s="462"/>
      <c r="E9" s="462"/>
      <c r="L9" s="623"/>
      <c r="M9" s="623" t="s">
        <v>115</v>
      </c>
      <c r="AK9" s="49" t="n">
        <v>1</v>
      </c>
    </row>
    <row r="10" customFormat="false" ht="11.25" hidden="false" customHeight="true" outlineLevel="0" collapsed="false">
      <c r="E10" s="708" t="s">
        <v>617</v>
      </c>
      <c r="I10" s="624"/>
      <c r="J10" s="625" t="s">
        <v>103</v>
      </c>
      <c r="K10" s="625"/>
      <c r="L10" s="626" t="str">
        <f aca="false">IF(L9="","",INDEX(DIFFERENTIATION_UNMERGE_VD,MATCH(L9,DIFFERENTIATION_ID_DIFF,0)))</f>
        <v/>
      </c>
      <c r="M10" s="626" t="str">
        <f aca="false">IF(M9="","",INDEX(DIFFERENTIATION_UNMERGE_VD,MATCH(M9,DIFFERENTIATION_ID_DIFF,0)))</f>
        <v>Водоотведение; Транспортировка</v>
      </c>
      <c r="O10" s="138" t="s">
        <v>298</v>
      </c>
      <c r="AK10" s="42" t="n">
        <v>11</v>
      </c>
    </row>
    <row r="11" customFormat="false" ht="11.25" hidden="false" customHeight="true" outlineLevel="0" collapsed="false">
      <c r="E11" s="708" t="s">
        <v>618</v>
      </c>
      <c r="I11" s="624"/>
      <c r="J11" s="625" t="s">
        <v>561</v>
      </c>
      <c r="K11" s="625"/>
      <c r="L11" s="626" t="str">
        <f aca="false">IF(L9="","",INDEX(DIFFERENTIATION_UNMERGE_AREA,MATCH(L9,DIFFERENTIATION_ID_DIFF,0)))</f>
        <v/>
      </c>
      <c r="M11" s="626" t="str">
        <f aca="false">IF(M9="","",INDEX(DIFFERENTIATION_UNMERGE_AREA,MATCH(M9,DIFFERENTIATION_ID_DIFF,0)))</f>
        <v>Территория 1</v>
      </c>
      <c r="O11" s="138"/>
      <c r="AK11" s="42" t="n">
        <v>11</v>
      </c>
    </row>
    <row r="12" customFormat="false" ht="11.25" hidden="false" customHeight="true" outlineLevel="0" collapsed="false">
      <c r="E12" s="708" t="s">
        <v>619</v>
      </c>
      <c r="I12" s="709"/>
      <c r="J12" s="625" t="s">
        <v>562</v>
      </c>
      <c r="K12" s="625"/>
      <c r="L12" s="626" t="str">
        <f aca="false">IF(L9="","",INDEX(DIFFERENTIATION_UNMERGE_SYSTEM,MATCH(L9,DIFFERENTIATION_ID_DIFF,0)))</f>
        <v/>
      </c>
      <c r="M12" s="626" t="str">
        <f aca="false">IF(M9="","",INDEX(DIFFERENTIATION_UNMERGE_SYSTEM,MATCH(M9,DIFFERENTIATION_ID_DIFF,0)))</f>
        <v>без дифференциации</v>
      </c>
      <c r="O12" s="138"/>
      <c r="AK12" s="42" t="n">
        <v>11</v>
      </c>
    </row>
    <row r="13" customFormat="false" ht="11.25" hidden="false" customHeight="true" outlineLevel="0" collapsed="false">
      <c r="E13" s="708" t="s">
        <v>620</v>
      </c>
      <c r="F13" s="708" t="s">
        <v>621</v>
      </c>
      <c r="I13" s="627" t="s">
        <v>297</v>
      </c>
      <c r="J13" s="627"/>
      <c r="K13" s="627"/>
      <c r="L13" s="628"/>
      <c r="M13" s="710"/>
      <c r="O13" s="138"/>
      <c r="AK13" s="42" t="n">
        <v>11</v>
      </c>
    </row>
    <row r="14" customFormat="false" ht="24" hidden="false" customHeight="true" outlineLevel="0" collapsed="false">
      <c r="I14" s="150" t="s">
        <v>86</v>
      </c>
      <c r="J14" s="150" t="s">
        <v>299</v>
      </c>
      <c r="K14" s="150" t="s">
        <v>563</v>
      </c>
      <c r="L14" s="263" t="s">
        <v>300</v>
      </c>
      <c r="M14" s="150" t="s">
        <v>300</v>
      </c>
      <c r="O14" s="138"/>
      <c r="AK14" s="42" t="n">
        <v>23</v>
      </c>
    </row>
    <row r="15" customFormat="false" ht="24" hidden="false" customHeight="true" outlineLevel="0" collapsed="false">
      <c r="A15" s="711"/>
      <c r="B15" s="704" t="s">
        <v>622</v>
      </c>
      <c r="C15" s="704" t="s">
        <v>623</v>
      </c>
      <c r="D15" s="705" t="s">
        <v>624</v>
      </c>
      <c r="E15" s="706" t="s">
        <v>625</v>
      </c>
      <c r="F15" s="706" t="s">
        <v>625</v>
      </c>
      <c r="G15" s="49" t="s">
        <v>585</v>
      </c>
      <c r="H15" s="118"/>
      <c r="I15" s="712" t="n">
        <v>1</v>
      </c>
      <c r="J15" s="629" t="s">
        <v>626</v>
      </c>
      <c r="K15" s="150" t="s">
        <v>303</v>
      </c>
      <c r="L15" s="713"/>
      <c r="M15" s="662"/>
      <c r="N15" s="613" t="s">
        <v>627</v>
      </c>
      <c r="O15" s="423" t="s">
        <v>628</v>
      </c>
      <c r="P15" s="613" t="s">
        <v>627</v>
      </c>
      <c r="AK15" s="42" t="n">
        <v>23</v>
      </c>
    </row>
    <row r="16" customFormat="false" ht="35.25" hidden="false" customHeight="true" outlineLevel="0" collapsed="false">
      <c r="A16" s="711"/>
      <c r="B16" s="704" t="s">
        <v>629</v>
      </c>
      <c r="C16" s="704" t="s">
        <v>630</v>
      </c>
      <c r="D16" s="705" t="s">
        <v>614</v>
      </c>
      <c r="E16" s="706" t="s">
        <v>625</v>
      </c>
      <c r="F16" s="706" t="s">
        <v>625</v>
      </c>
      <c r="H16" s="118"/>
      <c r="I16" s="714" t="n">
        <v>2</v>
      </c>
      <c r="J16" s="266" t="s">
        <v>631</v>
      </c>
      <c r="K16" s="260" t="s">
        <v>553</v>
      </c>
      <c r="L16" s="715"/>
      <c r="M16" s="716"/>
      <c r="N16" s="613" t="s">
        <v>627</v>
      </c>
      <c r="O16" s="423" t="s">
        <v>632</v>
      </c>
      <c r="P16" s="613" t="s">
        <v>627</v>
      </c>
      <c r="AK16" s="42" t="n">
        <v>34</v>
      </c>
    </row>
    <row r="17" s="49" customFormat="true" ht="17.25" hidden="true" customHeight="true" outlineLevel="0" collapsed="false">
      <c r="A17" s="462"/>
      <c r="B17" s="462"/>
      <c r="C17" s="462"/>
      <c r="D17" s="462"/>
      <c r="E17" s="462"/>
      <c r="H17" s="462"/>
      <c r="I17" s="151" t="s">
        <v>633</v>
      </c>
      <c r="J17" s="654"/>
      <c r="K17" s="151"/>
      <c r="L17" s="655"/>
      <c r="M17" s="655"/>
      <c r="O17" s="510"/>
      <c r="AK17" s="49" t="n">
        <v>1</v>
      </c>
    </row>
    <row r="18" s="45" customFormat="true" ht="24" hidden="false" customHeight="true" outlineLevel="0" collapsed="false">
      <c r="A18" s="608"/>
      <c r="B18" s="608"/>
      <c r="C18" s="608"/>
      <c r="D18" s="608"/>
      <c r="E18" s="608"/>
      <c r="G18" s="49"/>
      <c r="H18" s="121"/>
      <c r="I18" s="643"/>
      <c r="J18" s="214" t="s">
        <v>583</v>
      </c>
      <c r="K18" s="644"/>
      <c r="L18" s="717"/>
      <c r="M18" s="645"/>
      <c r="N18" s="613"/>
      <c r="O18" s="423" t="s">
        <v>584</v>
      </c>
      <c r="P18" s="613"/>
      <c r="Q18" s="49"/>
      <c r="R18" s="49"/>
      <c r="W18" s="49"/>
      <c r="Z18" s="609"/>
      <c r="AF18" s="48"/>
      <c r="AG18" s="48"/>
      <c r="AH18" s="48"/>
      <c r="AI18" s="48"/>
      <c r="AJ18" s="48"/>
      <c r="AK18" s="45" t="n">
        <v>23</v>
      </c>
    </row>
    <row r="19" customFormat="false" ht="19.5" hidden="false" customHeight="true" outlineLevel="0" collapsed="false">
      <c r="A19" s="711"/>
      <c r="B19" s="704" t="s">
        <v>634</v>
      </c>
      <c r="C19" s="704" t="s">
        <v>635</v>
      </c>
      <c r="D19" s="705" t="s">
        <v>614</v>
      </c>
      <c r="E19" s="706" t="s">
        <v>625</v>
      </c>
      <c r="F19" s="706" t="s">
        <v>625</v>
      </c>
      <c r="H19" s="118"/>
      <c r="I19" s="718" t="n">
        <v>3</v>
      </c>
      <c r="J19" s="629" t="s">
        <v>635</v>
      </c>
      <c r="K19" s="719" t="s">
        <v>553</v>
      </c>
      <c r="L19" s="720"/>
      <c r="M19" s="630"/>
      <c r="N19" s="613"/>
      <c r="O19" s="423" t="s">
        <v>636</v>
      </c>
      <c r="P19" s="613"/>
      <c r="AK19" s="42" t="n">
        <v>19</v>
      </c>
    </row>
    <row r="20" customFormat="false" ht="77.25" hidden="false" customHeight="true" outlineLevel="0" collapsed="false">
      <c r="A20" s="711"/>
      <c r="B20" s="704" t="s">
        <v>637</v>
      </c>
      <c r="C20" s="704" t="s">
        <v>638</v>
      </c>
      <c r="D20" s="705" t="s">
        <v>614</v>
      </c>
      <c r="E20" s="706" t="s">
        <v>625</v>
      </c>
      <c r="F20" s="706" t="s">
        <v>625</v>
      </c>
      <c r="H20" s="118"/>
      <c r="I20" s="718" t="n">
        <v>4</v>
      </c>
      <c r="J20" s="629" t="s">
        <v>639</v>
      </c>
      <c r="K20" s="719" t="s">
        <v>580</v>
      </c>
      <c r="L20" s="720"/>
      <c r="M20" s="630"/>
      <c r="N20" s="613"/>
      <c r="O20" s="423"/>
      <c r="P20" s="613"/>
      <c r="AK20" s="42" t="n">
        <v>74</v>
      </c>
    </row>
    <row r="21" customFormat="false" ht="35.25" hidden="false" customHeight="true" outlineLevel="0" collapsed="false">
      <c r="A21" s="711"/>
      <c r="B21" s="704" t="s">
        <v>640</v>
      </c>
      <c r="C21" s="704" t="s">
        <v>641</v>
      </c>
      <c r="D21" s="705" t="s">
        <v>614</v>
      </c>
      <c r="E21" s="706" t="s">
        <v>625</v>
      </c>
      <c r="F21" s="706" t="s">
        <v>625</v>
      </c>
      <c r="H21" s="118"/>
      <c r="I21" s="718" t="n">
        <v>5</v>
      </c>
      <c r="J21" s="629" t="s">
        <v>642</v>
      </c>
      <c r="K21" s="719" t="s">
        <v>580</v>
      </c>
      <c r="L21" s="720"/>
      <c r="M21" s="630"/>
      <c r="N21" s="613"/>
      <c r="O21" s="423" t="s">
        <v>636</v>
      </c>
      <c r="P21" s="613"/>
      <c r="AK21" s="42" t="n">
        <v>34</v>
      </c>
    </row>
    <row r="22" customFormat="false" ht="48" hidden="false" customHeight="true" outlineLevel="0" collapsed="false">
      <c r="A22" s="711"/>
      <c r="B22" s="704" t="s">
        <v>643</v>
      </c>
      <c r="C22" s="704" t="s">
        <v>644</v>
      </c>
      <c r="D22" s="705" t="s">
        <v>614</v>
      </c>
      <c r="E22" s="706" t="s">
        <v>625</v>
      </c>
      <c r="F22" s="706" t="s">
        <v>625</v>
      </c>
      <c r="H22" s="118"/>
      <c r="I22" s="718" t="n">
        <v>6</v>
      </c>
      <c r="J22" s="629" t="s">
        <v>645</v>
      </c>
      <c r="K22" s="719" t="s">
        <v>580</v>
      </c>
      <c r="L22" s="720"/>
      <c r="M22" s="630"/>
      <c r="N22" s="613"/>
      <c r="O22" s="612" t="s">
        <v>646</v>
      </c>
      <c r="P22" s="613"/>
      <c r="AK22" s="42" t="n">
        <v>46</v>
      </c>
    </row>
    <row r="23" customFormat="false" ht="19.5" hidden="false" customHeight="true" outlineLevel="0" collapsed="false">
      <c r="A23" s="711"/>
      <c r="B23" s="704" t="s">
        <v>647</v>
      </c>
      <c r="C23" s="704" t="s">
        <v>648</v>
      </c>
      <c r="D23" s="705" t="s">
        <v>614</v>
      </c>
      <c r="E23" s="706" t="s">
        <v>625</v>
      </c>
      <c r="F23" s="706" t="s">
        <v>625</v>
      </c>
      <c r="H23" s="118"/>
      <c r="I23" s="718" t="s">
        <v>649</v>
      </c>
      <c r="J23" s="577" t="s">
        <v>650</v>
      </c>
      <c r="K23" s="719" t="s">
        <v>580</v>
      </c>
      <c r="L23" s="720"/>
      <c r="M23" s="630"/>
      <c r="N23" s="613"/>
      <c r="O23" s="423" t="s">
        <v>636</v>
      </c>
      <c r="P23" s="613"/>
      <c r="AK23" s="42" t="n">
        <v>19</v>
      </c>
    </row>
    <row r="24" customFormat="false" ht="19.5" hidden="false" customHeight="true" outlineLevel="0" collapsed="false">
      <c r="A24" s="711"/>
      <c r="B24" s="704" t="s">
        <v>651</v>
      </c>
      <c r="C24" s="704" t="s">
        <v>652</v>
      </c>
      <c r="D24" s="705" t="s">
        <v>614</v>
      </c>
      <c r="E24" s="706" t="s">
        <v>625</v>
      </c>
      <c r="F24" s="706" t="s">
        <v>625</v>
      </c>
      <c r="H24" s="118"/>
      <c r="I24" s="718" t="s">
        <v>653</v>
      </c>
      <c r="J24" s="577" t="s">
        <v>654</v>
      </c>
      <c r="K24" s="719" t="s">
        <v>580</v>
      </c>
      <c r="L24" s="720"/>
      <c r="M24" s="630"/>
      <c r="N24" s="613"/>
      <c r="O24" s="423"/>
      <c r="P24" s="613"/>
      <c r="AK24" s="42" t="n">
        <v>19</v>
      </c>
    </row>
    <row r="25" customFormat="false" ht="24" hidden="false" customHeight="true" outlineLevel="0" collapsed="false">
      <c r="A25" s="711"/>
      <c r="B25" s="704" t="s">
        <v>655</v>
      </c>
      <c r="C25" s="704" t="s">
        <v>656</v>
      </c>
      <c r="D25" s="705" t="s">
        <v>614</v>
      </c>
      <c r="E25" s="706" t="s">
        <v>625</v>
      </c>
      <c r="F25" s="706" t="s">
        <v>625</v>
      </c>
      <c r="H25" s="118"/>
      <c r="I25" s="718" t="s">
        <v>657</v>
      </c>
      <c r="J25" s="577" t="s">
        <v>658</v>
      </c>
      <c r="K25" s="719" t="s">
        <v>580</v>
      </c>
      <c r="L25" s="720"/>
      <c r="M25" s="630"/>
      <c r="N25" s="613"/>
      <c r="O25" s="423"/>
      <c r="P25" s="613"/>
      <c r="AK25" s="42" t="n">
        <v>23</v>
      </c>
    </row>
    <row r="26" customFormat="false" ht="24" hidden="false" customHeight="true" outlineLevel="0" collapsed="false">
      <c r="A26" s="711"/>
      <c r="B26" s="704" t="s">
        <v>659</v>
      </c>
      <c r="C26" s="704" t="s">
        <v>660</v>
      </c>
      <c r="D26" s="705" t="s">
        <v>614</v>
      </c>
      <c r="E26" s="706" t="s">
        <v>625</v>
      </c>
      <c r="F26" s="706" t="s">
        <v>625</v>
      </c>
      <c r="H26" s="118"/>
      <c r="I26" s="718" t="n">
        <v>7</v>
      </c>
      <c r="J26" s="629" t="s">
        <v>660</v>
      </c>
      <c r="K26" s="719" t="s">
        <v>661</v>
      </c>
      <c r="L26" s="720"/>
      <c r="M26" s="630"/>
      <c r="N26" s="613"/>
      <c r="O26" s="423"/>
      <c r="P26" s="613"/>
      <c r="AK26" s="42" t="n">
        <v>23</v>
      </c>
    </row>
    <row r="27" customFormat="false" ht="24" hidden="false" customHeight="true" outlineLevel="0" collapsed="false">
      <c r="A27" s="711"/>
      <c r="B27" s="704" t="s">
        <v>662</v>
      </c>
      <c r="C27" s="704" t="s">
        <v>663</v>
      </c>
      <c r="D27" s="705" t="s">
        <v>614</v>
      </c>
      <c r="E27" s="706" t="s">
        <v>625</v>
      </c>
      <c r="F27" s="706" t="s">
        <v>625</v>
      </c>
      <c r="H27" s="118"/>
      <c r="I27" s="718" t="n">
        <v>8</v>
      </c>
      <c r="J27" s="629" t="s">
        <v>663</v>
      </c>
      <c r="K27" s="719" t="s">
        <v>586</v>
      </c>
      <c r="L27" s="720"/>
      <c r="M27" s="630"/>
      <c r="N27" s="613"/>
      <c r="O27" s="423"/>
      <c r="P27" s="613"/>
      <c r="AK27" s="42" t="n">
        <v>23</v>
      </c>
    </row>
    <row r="28" customFormat="false" ht="35.25" hidden="false" customHeight="true" outlineLevel="0" collapsed="false">
      <c r="A28" s="711"/>
      <c r="B28" s="704" t="s">
        <v>664</v>
      </c>
      <c r="C28" s="704" t="s">
        <v>665</v>
      </c>
      <c r="D28" s="705" t="s">
        <v>614</v>
      </c>
      <c r="E28" s="706" t="s">
        <v>625</v>
      </c>
      <c r="F28" s="706" t="s">
        <v>625</v>
      </c>
      <c r="H28" s="118"/>
      <c r="I28" s="721" t="n">
        <v>9</v>
      </c>
      <c r="J28" s="629" t="s">
        <v>666</v>
      </c>
      <c r="K28" s="719" t="s">
        <v>557</v>
      </c>
      <c r="L28" s="720"/>
      <c r="M28" s="630"/>
      <c r="N28" s="613"/>
      <c r="O28" s="423"/>
      <c r="P28" s="613"/>
      <c r="AK28" s="42" t="n">
        <v>34</v>
      </c>
    </row>
    <row r="29" customFormat="false" ht="35.25" hidden="false" customHeight="true" outlineLevel="0" collapsed="false">
      <c r="A29" s="711"/>
      <c r="B29" s="704" t="s">
        <v>667</v>
      </c>
      <c r="C29" s="704" t="s">
        <v>668</v>
      </c>
      <c r="D29" s="705" t="s">
        <v>614</v>
      </c>
      <c r="E29" s="706" t="s">
        <v>625</v>
      </c>
      <c r="F29" s="706" t="s">
        <v>625</v>
      </c>
      <c r="H29" s="118"/>
      <c r="I29" s="721" t="n">
        <v>10</v>
      </c>
      <c r="J29" s="629" t="s">
        <v>669</v>
      </c>
      <c r="K29" s="719" t="s">
        <v>557</v>
      </c>
      <c r="L29" s="720"/>
      <c r="M29" s="630"/>
      <c r="N29" s="613"/>
      <c r="O29" s="423"/>
      <c r="P29" s="613"/>
      <c r="AK29" s="42" t="n">
        <v>34</v>
      </c>
    </row>
    <row r="30" customFormat="false" ht="24" hidden="false" customHeight="true" outlineLevel="0" collapsed="false">
      <c r="A30" s="711"/>
      <c r="B30" s="704" t="s">
        <v>670</v>
      </c>
      <c r="C30" s="704" t="s">
        <v>671</v>
      </c>
      <c r="D30" s="705" t="s">
        <v>614</v>
      </c>
      <c r="E30" s="706" t="s">
        <v>625</v>
      </c>
      <c r="F30" s="706" t="s">
        <v>625</v>
      </c>
      <c r="H30" s="118"/>
      <c r="I30" s="721" t="n">
        <v>11</v>
      </c>
      <c r="J30" s="629" t="s">
        <v>671</v>
      </c>
      <c r="K30" s="719" t="s">
        <v>587</v>
      </c>
      <c r="L30" s="722"/>
      <c r="M30" s="388"/>
      <c r="N30" s="613"/>
      <c r="O30" s="423"/>
      <c r="P30" s="613"/>
      <c r="AK30" s="42" t="n">
        <v>23</v>
      </c>
    </row>
    <row r="31" customFormat="false" ht="24" hidden="false" customHeight="true" outlineLevel="0" collapsed="false">
      <c r="A31" s="711"/>
      <c r="B31" s="704" t="s">
        <v>672</v>
      </c>
      <c r="C31" s="704" t="s">
        <v>673</v>
      </c>
      <c r="D31" s="705" t="s">
        <v>614</v>
      </c>
      <c r="E31" s="706" t="s">
        <v>625</v>
      </c>
      <c r="F31" s="706" t="s">
        <v>625</v>
      </c>
      <c r="H31" s="118"/>
      <c r="I31" s="721" t="n">
        <v>12</v>
      </c>
      <c r="J31" s="629" t="s">
        <v>673</v>
      </c>
      <c r="K31" s="719" t="s">
        <v>587</v>
      </c>
      <c r="L31" s="722"/>
      <c r="M31" s="388"/>
      <c r="N31" s="613"/>
      <c r="O31" s="423"/>
      <c r="P31" s="613"/>
      <c r="AK31" s="42" t="n">
        <v>23</v>
      </c>
    </row>
    <row r="32" customFormat="false" ht="48" hidden="false" customHeight="true" outlineLevel="0" collapsed="false">
      <c r="A32" s="711"/>
      <c r="B32" s="704" t="s">
        <v>674</v>
      </c>
      <c r="C32" s="704" t="s">
        <v>675</v>
      </c>
      <c r="D32" s="705" t="s">
        <v>614</v>
      </c>
      <c r="E32" s="706" t="s">
        <v>625</v>
      </c>
      <c r="F32" s="706" t="s">
        <v>625</v>
      </c>
      <c r="H32" s="118"/>
      <c r="I32" s="721" t="n">
        <v>13</v>
      </c>
      <c r="J32" s="629" t="s">
        <v>676</v>
      </c>
      <c r="K32" s="719" t="s">
        <v>597</v>
      </c>
      <c r="L32" s="720"/>
      <c r="M32" s="630"/>
      <c r="N32" s="613"/>
      <c r="O32" s="423" t="s">
        <v>636</v>
      </c>
      <c r="P32" s="613"/>
      <c r="AK32" s="42" t="n">
        <v>46</v>
      </c>
    </row>
    <row r="33" s="45" customFormat="true" ht="48" hidden="false" customHeight="true" outlineLevel="0" collapsed="false">
      <c r="A33" s="711"/>
      <c r="B33" s="704" t="s">
        <v>677</v>
      </c>
      <c r="C33" s="704" t="s">
        <v>678</v>
      </c>
      <c r="D33" s="705" t="s">
        <v>614</v>
      </c>
      <c r="E33" s="706" t="s">
        <v>625</v>
      </c>
      <c r="F33" s="706" t="s">
        <v>625</v>
      </c>
      <c r="G33" s="49"/>
      <c r="H33" s="118"/>
      <c r="I33" s="721" t="n">
        <v>14</v>
      </c>
      <c r="J33" s="266" t="s">
        <v>679</v>
      </c>
      <c r="K33" s="262" t="s">
        <v>680</v>
      </c>
      <c r="L33" s="720"/>
      <c r="M33" s="630"/>
      <c r="N33" s="613"/>
      <c r="O33" s="423" t="s">
        <v>636</v>
      </c>
      <c r="P33" s="613"/>
      <c r="Q33" s="49"/>
      <c r="R33" s="49"/>
      <c r="W33" s="49"/>
      <c r="Z33" s="609"/>
      <c r="AF33" s="48"/>
      <c r="AG33" s="48"/>
      <c r="AH33" s="48"/>
      <c r="AI33" s="48"/>
      <c r="AJ33" s="48"/>
      <c r="AK33" s="45" t="n">
        <v>46</v>
      </c>
    </row>
    <row r="34" customFormat="false" ht="108" hidden="false" customHeight="true" outlineLevel="0" collapsed="false">
      <c r="A34" s="711"/>
      <c r="B34" s="704" t="s">
        <v>681</v>
      </c>
      <c r="C34" s="704" t="s">
        <v>682</v>
      </c>
      <c r="D34" s="705" t="s">
        <v>624</v>
      </c>
      <c r="E34" s="706" t="s">
        <v>625</v>
      </c>
      <c r="F34" s="706" t="s">
        <v>625</v>
      </c>
      <c r="G34" s="49" t="s">
        <v>585</v>
      </c>
      <c r="H34" s="118"/>
      <c r="I34" s="200" t="n">
        <v>15</v>
      </c>
      <c r="J34" s="629" t="s">
        <v>683</v>
      </c>
      <c r="K34" s="719" t="s">
        <v>303</v>
      </c>
      <c r="L34" s="723"/>
      <c r="M34" s="408"/>
      <c r="N34" s="613"/>
      <c r="O34" s="423" t="s">
        <v>628</v>
      </c>
      <c r="P34" s="613"/>
      <c r="AK34" s="42" t="n">
        <v>103</v>
      </c>
    </row>
    <row r="35" s="124" customFormat="true" ht="11.25" hidden="false" customHeight="true" outlineLevel="0" collapsed="false">
      <c r="A35" s="608"/>
      <c r="B35" s="608"/>
      <c r="C35" s="608"/>
      <c r="D35" s="608"/>
      <c r="E35" s="608"/>
      <c r="F35" s="49"/>
      <c r="G35" s="49"/>
      <c r="N35" s="45"/>
      <c r="P35" s="45"/>
      <c r="Q35" s="49"/>
      <c r="R35" s="49"/>
      <c r="S35" s="45"/>
      <c r="T35" s="45"/>
      <c r="U35" s="45"/>
      <c r="V35" s="45"/>
      <c r="W35" s="49"/>
      <c r="X35" s="45"/>
      <c r="Y35" s="45"/>
      <c r="Z35" s="609"/>
      <c r="AA35" s="45"/>
      <c r="AB35" s="45"/>
      <c r="AC35" s="45"/>
      <c r="AD35" s="45"/>
      <c r="AE35" s="45"/>
      <c r="AF35" s="48"/>
      <c r="AG35" s="47"/>
      <c r="AH35" s="47"/>
      <c r="AI35" s="47"/>
      <c r="AJ35" s="47"/>
      <c r="AK35" s="124" t="n">
        <v>11</v>
      </c>
    </row>
    <row r="36" s="124" customFormat="true" ht="11.25" hidden="false" customHeight="true" outlineLevel="0" collapsed="false">
      <c r="A36" s="608"/>
      <c r="B36" s="608"/>
      <c r="C36" s="608"/>
      <c r="D36" s="608"/>
      <c r="E36" s="608"/>
      <c r="F36" s="49"/>
      <c r="G36" s="49"/>
      <c r="N36" s="45"/>
      <c r="P36" s="45"/>
      <c r="Q36" s="49"/>
      <c r="R36" s="49"/>
      <c r="S36" s="45"/>
      <c r="T36" s="45"/>
      <c r="U36" s="45"/>
      <c r="V36" s="45"/>
      <c r="W36" s="49"/>
      <c r="X36" s="45"/>
      <c r="Y36" s="45"/>
      <c r="Z36" s="609"/>
      <c r="AA36" s="45"/>
      <c r="AB36" s="45"/>
      <c r="AC36" s="45"/>
      <c r="AD36" s="45"/>
      <c r="AE36" s="45"/>
      <c r="AF36" s="48"/>
      <c r="AG36" s="47"/>
      <c r="AH36" s="47"/>
      <c r="AI36" s="47"/>
      <c r="AJ36" s="47"/>
      <c r="AK36" s="124" t="n">
        <v>11</v>
      </c>
    </row>
    <row r="37" s="124" customFormat="true" ht="11.25" hidden="false" customHeight="true" outlineLevel="0" collapsed="false">
      <c r="A37" s="608"/>
      <c r="B37" s="608"/>
      <c r="C37" s="608"/>
      <c r="D37" s="608"/>
      <c r="E37" s="608"/>
      <c r="F37" s="49"/>
      <c r="G37" s="49"/>
      <c r="L37" s="47"/>
      <c r="M37" s="47"/>
      <c r="N37" s="45"/>
      <c r="P37" s="45"/>
      <c r="Q37" s="49"/>
      <c r="R37" s="49"/>
      <c r="S37" s="45"/>
      <c r="T37" s="45"/>
      <c r="U37" s="45"/>
      <c r="V37" s="45"/>
      <c r="W37" s="49"/>
      <c r="X37" s="45"/>
      <c r="Y37" s="45"/>
      <c r="Z37" s="609"/>
      <c r="AA37" s="45"/>
      <c r="AB37" s="45"/>
      <c r="AC37" s="45"/>
      <c r="AD37" s="45"/>
      <c r="AE37" s="45"/>
      <c r="AF37" s="48"/>
      <c r="AG37" s="47"/>
      <c r="AH37" s="47"/>
      <c r="AI37" s="47"/>
      <c r="AJ37" s="47"/>
      <c r="AK37" s="124" t="n">
        <v>11</v>
      </c>
    </row>
    <row r="38" s="124" customFormat="true" ht="11.25" hidden="false" customHeight="true" outlineLevel="0" collapsed="false">
      <c r="A38" s="608"/>
      <c r="B38" s="608"/>
      <c r="C38" s="608"/>
      <c r="D38" s="608"/>
      <c r="E38" s="608"/>
      <c r="F38" s="49"/>
      <c r="G38" s="49"/>
      <c r="N38" s="45"/>
      <c r="P38" s="45"/>
      <c r="Q38" s="49"/>
      <c r="R38" s="49"/>
      <c r="S38" s="45"/>
      <c r="T38" s="45"/>
      <c r="U38" s="45"/>
      <c r="V38" s="45"/>
      <c r="W38" s="49"/>
      <c r="X38" s="45"/>
      <c r="Y38" s="45"/>
      <c r="Z38" s="609"/>
      <c r="AA38" s="45"/>
      <c r="AB38" s="45"/>
      <c r="AC38" s="45"/>
      <c r="AD38" s="45"/>
      <c r="AE38" s="45"/>
      <c r="AF38" s="48"/>
      <c r="AG38" s="47"/>
      <c r="AH38" s="47"/>
      <c r="AI38" s="47"/>
      <c r="AJ38" s="47"/>
      <c r="AK38" s="124" t="n">
        <v>11</v>
      </c>
    </row>
    <row r="39" s="124" customFormat="true" ht="11.25" hidden="false" customHeight="true" outlineLevel="0" collapsed="false">
      <c r="A39" s="608"/>
      <c r="B39" s="608"/>
      <c r="C39" s="608"/>
      <c r="D39" s="608"/>
      <c r="E39" s="608"/>
      <c r="F39" s="49"/>
      <c r="G39" s="49"/>
      <c r="N39" s="45"/>
      <c r="P39" s="45"/>
      <c r="Q39" s="49"/>
      <c r="R39" s="49"/>
      <c r="S39" s="45"/>
      <c r="T39" s="45"/>
      <c r="U39" s="45"/>
      <c r="V39" s="45"/>
      <c r="W39" s="49"/>
      <c r="X39" s="45"/>
      <c r="Y39" s="45"/>
      <c r="Z39" s="609"/>
      <c r="AA39" s="45"/>
      <c r="AB39" s="45"/>
      <c r="AC39" s="45"/>
      <c r="AD39" s="45"/>
      <c r="AE39" s="45"/>
      <c r="AF39" s="48"/>
      <c r="AG39" s="47"/>
      <c r="AH39" s="47"/>
      <c r="AI39" s="47"/>
      <c r="AJ39" s="47"/>
      <c r="AK39" s="124" t="n">
        <v>11</v>
      </c>
    </row>
    <row r="40" s="124" customFormat="true" ht="11.25" hidden="false" customHeight="true" outlineLevel="0" collapsed="false">
      <c r="A40" s="608"/>
      <c r="B40" s="608"/>
      <c r="C40" s="608"/>
      <c r="D40" s="608"/>
      <c r="E40" s="608"/>
      <c r="F40" s="49"/>
      <c r="G40" s="49"/>
      <c r="N40" s="45"/>
      <c r="P40" s="45"/>
      <c r="Q40" s="49"/>
      <c r="R40" s="49"/>
      <c r="S40" s="45"/>
      <c r="T40" s="45"/>
      <c r="U40" s="45"/>
      <c r="V40" s="45"/>
      <c r="W40" s="49"/>
      <c r="X40" s="45"/>
      <c r="Y40" s="45"/>
      <c r="Z40" s="609"/>
      <c r="AA40" s="45"/>
      <c r="AB40" s="45"/>
      <c r="AC40" s="45"/>
      <c r="AD40" s="45"/>
      <c r="AE40" s="45"/>
      <c r="AF40" s="48"/>
      <c r="AG40" s="47"/>
      <c r="AH40" s="47"/>
      <c r="AI40" s="47"/>
      <c r="AJ40" s="47"/>
      <c r="AK40" s="124" t="n">
        <v>11</v>
      </c>
    </row>
    <row r="41" s="124" customFormat="true" ht="11.25" hidden="false" customHeight="true" outlineLevel="0" collapsed="false">
      <c r="A41" s="608"/>
      <c r="B41" s="608"/>
      <c r="C41" s="608"/>
      <c r="D41" s="608"/>
      <c r="E41" s="608"/>
      <c r="F41" s="49"/>
      <c r="G41" s="49"/>
      <c r="N41" s="45"/>
      <c r="P41" s="45"/>
      <c r="Q41" s="49"/>
      <c r="R41" s="49"/>
      <c r="S41" s="45"/>
      <c r="T41" s="45"/>
      <c r="U41" s="45"/>
      <c r="V41" s="45"/>
      <c r="W41" s="49"/>
      <c r="X41" s="45"/>
      <c r="Y41" s="45"/>
      <c r="Z41" s="609"/>
      <c r="AA41" s="45"/>
      <c r="AB41" s="45"/>
      <c r="AC41" s="45"/>
      <c r="AD41" s="45"/>
      <c r="AE41" s="45"/>
      <c r="AF41" s="48"/>
      <c r="AG41" s="47"/>
      <c r="AH41" s="47"/>
      <c r="AI41" s="47"/>
      <c r="AJ41" s="47"/>
      <c r="AK41" s="124" t="n">
        <v>11</v>
      </c>
    </row>
    <row r="42" s="124" customFormat="true" ht="11.25" hidden="false" customHeight="true" outlineLevel="0" collapsed="false">
      <c r="A42" s="608"/>
      <c r="B42" s="608"/>
      <c r="C42" s="608"/>
      <c r="D42" s="608"/>
      <c r="E42" s="608"/>
      <c r="F42" s="49"/>
      <c r="G42" s="49"/>
      <c r="N42" s="45"/>
      <c r="P42" s="45"/>
      <c r="Q42" s="49"/>
      <c r="R42" s="49"/>
      <c r="S42" s="45"/>
      <c r="T42" s="45"/>
      <c r="U42" s="45"/>
      <c r="V42" s="45"/>
      <c r="W42" s="49"/>
      <c r="X42" s="45"/>
      <c r="Y42" s="45"/>
      <c r="Z42" s="609"/>
      <c r="AA42" s="45"/>
      <c r="AB42" s="45"/>
      <c r="AC42" s="45"/>
      <c r="AD42" s="45"/>
      <c r="AE42" s="45"/>
      <c r="AF42" s="48"/>
      <c r="AG42" s="47"/>
      <c r="AH42" s="47"/>
      <c r="AI42" s="47"/>
      <c r="AJ42" s="47"/>
      <c r="AK42" s="124" t="n">
        <v>11</v>
      </c>
    </row>
    <row r="43" s="124" customFormat="true" ht="11.25" hidden="false" customHeight="true" outlineLevel="0" collapsed="false">
      <c r="A43" s="608"/>
      <c r="B43" s="608"/>
      <c r="C43" s="608"/>
      <c r="D43" s="608"/>
      <c r="E43" s="608"/>
      <c r="F43" s="49"/>
      <c r="G43" s="49"/>
      <c r="N43" s="45"/>
      <c r="P43" s="45"/>
      <c r="Q43" s="49"/>
      <c r="R43" s="49"/>
      <c r="S43" s="45"/>
      <c r="T43" s="45"/>
      <c r="U43" s="45"/>
      <c r="V43" s="45"/>
      <c r="W43" s="49"/>
      <c r="X43" s="45"/>
      <c r="Y43" s="45"/>
      <c r="Z43" s="609"/>
      <c r="AA43" s="45"/>
      <c r="AB43" s="45"/>
      <c r="AC43" s="45"/>
      <c r="AD43" s="45"/>
      <c r="AE43" s="45"/>
      <c r="AF43" s="48"/>
      <c r="AG43" s="47"/>
      <c r="AH43" s="47"/>
      <c r="AI43" s="47"/>
      <c r="AJ43" s="47"/>
      <c r="AK43" s="124" t="n">
        <v>11</v>
      </c>
    </row>
    <row r="44" s="124" customFormat="true" ht="11.25" hidden="false" customHeight="true" outlineLevel="0" collapsed="false">
      <c r="A44" s="608"/>
      <c r="B44" s="608"/>
      <c r="C44" s="608"/>
      <c r="D44" s="608"/>
      <c r="E44" s="608"/>
      <c r="F44" s="49"/>
      <c r="G44" s="49"/>
      <c r="N44" s="45"/>
      <c r="P44" s="45"/>
      <c r="Q44" s="49"/>
      <c r="R44" s="49"/>
      <c r="S44" s="45"/>
      <c r="T44" s="45"/>
      <c r="U44" s="45"/>
      <c r="V44" s="45"/>
      <c r="W44" s="49"/>
      <c r="X44" s="45"/>
      <c r="Y44" s="45"/>
      <c r="Z44" s="609"/>
      <c r="AA44" s="45"/>
      <c r="AB44" s="45"/>
      <c r="AC44" s="45"/>
      <c r="AD44" s="45"/>
      <c r="AE44" s="45"/>
      <c r="AF44" s="48"/>
      <c r="AG44" s="47"/>
      <c r="AH44" s="47"/>
      <c r="AI44" s="47"/>
      <c r="AJ44" s="47"/>
      <c r="AK44" s="124" t="n">
        <v>11</v>
      </c>
    </row>
    <row r="45" s="124" customFormat="true" ht="11.25" hidden="false" customHeight="true" outlineLevel="0" collapsed="false">
      <c r="A45" s="608"/>
      <c r="B45" s="608"/>
      <c r="C45" s="608"/>
      <c r="D45" s="608"/>
      <c r="E45" s="608"/>
      <c r="F45" s="49"/>
      <c r="G45" s="49"/>
      <c r="N45" s="45"/>
      <c r="P45" s="45"/>
      <c r="Q45" s="49"/>
      <c r="R45" s="49"/>
      <c r="S45" s="45"/>
      <c r="T45" s="45"/>
      <c r="U45" s="45"/>
      <c r="V45" s="45"/>
      <c r="W45" s="49"/>
      <c r="X45" s="45"/>
      <c r="Y45" s="45"/>
      <c r="Z45" s="609"/>
      <c r="AA45" s="45"/>
      <c r="AB45" s="45"/>
      <c r="AC45" s="45"/>
      <c r="AD45" s="45"/>
      <c r="AE45" s="45"/>
      <c r="AF45" s="48"/>
      <c r="AG45" s="47"/>
      <c r="AH45" s="47"/>
      <c r="AI45" s="47"/>
      <c r="AJ45" s="47"/>
      <c r="AK45" s="124" t="n">
        <v>11</v>
      </c>
    </row>
    <row r="46" s="124" customFormat="true" ht="11.25" hidden="false" customHeight="true" outlineLevel="0" collapsed="false">
      <c r="A46" s="608"/>
      <c r="B46" s="608"/>
      <c r="C46" s="608"/>
      <c r="D46" s="608"/>
      <c r="E46" s="608"/>
      <c r="F46" s="49"/>
      <c r="G46" s="49"/>
      <c r="N46" s="45"/>
      <c r="P46" s="45"/>
      <c r="Q46" s="49"/>
      <c r="R46" s="49"/>
      <c r="S46" s="45"/>
      <c r="T46" s="45"/>
      <c r="U46" s="45"/>
      <c r="V46" s="45"/>
      <c r="W46" s="49"/>
      <c r="X46" s="45"/>
      <c r="Y46" s="45"/>
      <c r="Z46" s="609"/>
      <c r="AA46" s="45"/>
      <c r="AB46" s="45"/>
      <c r="AC46" s="45"/>
      <c r="AD46" s="45"/>
      <c r="AE46" s="45"/>
      <c r="AF46" s="48"/>
      <c r="AG46" s="47"/>
      <c r="AH46" s="47"/>
      <c r="AI46" s="47"/>
      <c r="AJ46" s="47"/>
      <c r="AK46" s="124" t="n">
        <v>11</v>
      </c>
    </row>
    <row r="47" s="124" customFormat="true" ht="11.25" hidden="false" customHeight="true" outlineLevel="0" collapsed="false">
      <c r="A47" s="608"/>
      <c r="B47" s="608"/>
      <c r="C47" s="608"/>
      <c r="D47" s="608"/>
      <c r="E47" s="608"/>
      <c r="F47" s="49"/>
      <c r="G47" s="49"/>
      <c r="N47" s="45"/>
      <c r="P47" s="45"/>
      <c r="Q47" s="49"/>
      <c r="R47" s="49"/>
      <c r="S47" s="45"/>
      <c r="T47" s="45"/>
      <c r="U47" s="45"/>
      <c r="V47" s="45"/>
      <c r="W47" s="49"/>
      <c r="X47" s="45"/>
      <c r="Y47" s="45"/>
      <c r="Z47" s="609"/>
      <c r="AA47" s="45"/>
      <c r="AB47" s="45"/>
      <c r="AC47" s="45"/>
      <c r="AD47" s="45"/>
      <c r="AE47" s="45"/>
      <c r="AF47" s="48"/>
      <c r="AG47" s="47"/>
      <c r="AH47" s="47"/>
      <c r="AI47" s="47"/>
      <c r="AJ47" s="47"/>
      <c r="AK47" s="124" t="n">
        <v>11</v>
      </c>
    </row>
    <row r="48" s="124" customFormat="true" ht="11.25" hidden="false" customHeight="true" outlineLevel="0" collapsed="false">
      <c r="A48" s="608"/>
      <c r="B48" s="608"/>
      <c r="C48" s="608"/>
      <c r="D48" s="608"/>
      <c r="E48" s="608"/>
      <c r="F48" s="49"/>
      <c r="G48" s="49"/>
      <c r="N48" s="45"/>
      <c r="P48" s="45"/>
      <c r="Q48" s="49"/>
      <c r="R48" s="49"/>
      <c r="S48" s="45"/>
      <c r="T48" s="45"/>
      <c r="U48" s="45"/>
      <c r="V48" s="45"/>
      <c r="W48" s="49"/>
      <c r="X48" s="45"/>
      <c r="Y48" s="45"/>
      <c r="Z48" s="609"/>
      <c r="AA48" s="45"/>
      <c r="AB48" s="45"/>
      <c r="AC48" s="45"/>
      <c r="AD48" s="45"/>
      <c r="AE48" s="45"/>
      <c r="AF48" s="48"/>
      <c r="AG48" s="47"/>
      <c r="AH48" s="47"/>
      <c r="AI48" s="47"/>
      <c r="AJ48" s="47"/>
      <c r="AK48" s="124" t="n">
        <v>11</v>
      </c>
    </row>
    <row r="49" s="124" customFormat="true" ht="11.25" hidden="false" customHeight="true" outlineLevel="0" collapsed="false">
      <c r="A49" s="608"/>
      <c r="B49" s="608"/>
      <c r="C49" s="608"/>
      <c r="D49" s="608"/>
      <c r="E49" s="608"/>
      <c r="F49" s="49"/>
      <c r="G49" s="49"/>
      <c r="N49" s="45"/>
      <c r="P49" s="45"/>
      <c r="Q49" s="49"/>
      <c r="R49" s="49"/>
      <c r="S49" s="45"/>
      <c r="T49" s="45"/>
      <c r="U49" s="45"/>
      <c r="V49" s="45"/>
      <c r="W49" s="49"/>
      <c r="X49" s="45"/>
      <c r="Y49" s="45"/>
      <c r="Z49" s="609"/>
      <c r="AA49" s="45"/>
      <c r="AB49" s="45"/>
      <c r="AC49" s="45"/>
      <c r="AD49" s="45"/>
      <c r="AE49" s="45"/>
      <c r="AF49" s="48"/>
      <c r="AG49" s="47"/>
      <c r="AH49" s="47"/>
      <c r="AI49" s="47"/>
      <c r="AJ49" s="47"/>
      <c r="AK49" s="124" t="n">
        <v>11</v>
      </c>
    </row>
    <row r="50" s="124" customFormat="true" ht="11.25" hidden="false" customHeight="true" outlineLevel="0" collapsed="false">
      <c r="A50" s="608"/>
      <c r="B50" s="608"/>
      <c r="C50" s="608"/>
      <c r="D50" s="608"/>
      <c r="E50" s="608"/>
      <c r="F50" s="49"/>
      <c r="G50" s="49"/>
      <c r="N50" s="45"/>
      <c r="P50" s="45"/>
      <c r="Q50" s="49"/>
      <c r="R50" s="49"/>
      <c r="S50" s="45"/>
      <c r="T50" s="45"/>
      <c r="U50" s="45"/>
      <c r="V50" s="45"/>
      <c r="W50" s="49"/>
      <c r="X50" s="45"/>
      <c r="Y50" s="45"/>
      <c r="Z50" s="609"/>
      <c r="AA50" s="45"/>
      <c r="AB50" s="45"/>
      <c r="AC50" s="45"/>
      <c r="AD50" s="45"/>
      <c r="AE50" s="45"/>
      <c r="AF50" s="48"/>
      <c r="AG50" s="47"/>
      <c r="AH50" s="47"/>
      <c r="AI50" s="47"/>
      <c r="AJ50" s="47"/>
      <c r="AK50" s="124" t="n">
        <v>11</v>
      </c>
    </row>
    <row r="51" s="124" customFormat="true" ht="11.25" hidden="false" customHeight="true" outlineLevel="0" collapsed="false">
      <c r="A51" s="608"/>
      <c r="B51" s="608"/>
      <c r="C51" s="608"/>
      <c r="D51" s="608"/>
      <c r="E51" s="608"/>
      <c r="F51" s="49"/>
      <c r="G51" s="49"/>
      <c r="N51" s="45"/>
      <c r="P51" s="45"/>
      <c r="Q51" s="49"/>
      <c r="R51" s="49"/>
      <c r="S51" s="45"/>
      <c r="T51" s="45"/>
      <c r="U51" s="45"/>
      <c r="V51" s="45"/>
      <c r="W51" s="49"/>
      <c r="X51" s="45"/>
      <c r="Y51" s="45"/>
      <c r="Z51" s="609"/>
      <c r="AA51" s="45"/>
      <c r="AB51" s="45"/>
      <c r="AC51" s="45"/>
      <c r="AD51" s="45"/>
      <c r="AE51" s="45"/>
      <c r="AF51" s="48"/>
      <c r="AG51" s="47"/>
      <c r="AH51" s="47"/>
      <c r="AI51" s="47"/>
      <c r="AJ51" s="47"/>
      <c r="AK51" s="124" t="n">
        <v>11</v>
      </c>
    </row>
    <row r="52" s="124" customFormat="true" ht="11.25" hidden="false" customHeight="true" outlineLevel="0" collapsed="false">
      <c r="A52" s="608"/>
      <c r="B52" s="608"/>
      <c r="C52" s="608"/>
      <c r="D52" s="608"/>
      <c r="E52" s="608"/>
      <c r="F52" s="49"/>
      <c r="G52" s="49"/>
      <c r="N52" s="45"/>
      <c r="P52" s="45"/>
      <c r="Q52" s="49"/>
      <c r="R52" s="49"/>
      <c r="S52" s="45"/>
      <c r="T52" s="45"/>
      <c r="U52" s="45"/>
      <c r="V52" s="45"/>
      <c r="W52" s="49"/>
      <c r="X52" s="45"/>
      <c r="Y52" s="45"/>
      <c r="Z52" s="609"/>
      <c r="AA52" s="45"/>
      <c r="AB52" s="45"/>
      <c r="AC52" s="45"/>
      <c r="AD52" s="45"/>
      <c r="AE52" s="45"/>
      <c r="AF52" s="48"/>
      <c r="AG52" s="47"/>
      <c r="AH52" s="47"/>
      <c r="AI52" s="47"/>
      <c r="AJ52" s="47"/>
      <c r="AK52" s="124" t="n">
        <v>11</v>
      </c>
    </row>
    <row r="53" s="124" customFormat="true" ht="11.25" hidden="false" customHeight="true" outlineLevel="0" collapsed="false">
      <c r="A53" s="608"/>
      <c r="B53" s="608"/>
      <c r="C53" s="608"/>
      <c r="D53" s="608"/>
      <c r="E53" s="608"/>
      <c r="F53" s="49"/>
      <c r="G53" s="49"/>
      <c r="N53" s="45"/>
      <c r="P53" s="45"/>
      <c r="Q53" s="49"/>
      <c r="R53" s="49"/>
      <c r="S53" s="45"/>
      <c r="T53" s="45"/>
      <c r="U53" s="45"/>
      <c r="V53" s="45"/>
      <c r="W53" s="49"/>
      <c r="X53" s="45"/>
      <c r="Y53" s="45"/>
      <c r="Z53" s="609"/>
      <c r="AA53" s="45"/>
      <c r="AB53" s="45"/>
      <c r="AC53" s="45"/>
      <c r="AD53" s="45"/>
      <c r="AE53" s="45"/>
      <c r="AF53" s="48"/>
      <c r="AG53" s="47"/>
      <c r="AH53" s="47"/>
      <c r="AI53" s="47"/>
      <c r="AJ53" s="47"/>
      <c r="AK53" s="124" t="n">
        <v>11</v>
      </c>
    </row>
    <row r="54" s="124" customFormat="true" ht="11.25" hidden="false" customHeight="true" outlineLevel="0" collapsed="false">
      <c r="A54" s="608"/>
      <c r="B54" s="608"/>
      <c r="C54" s="608"/>
      <c r="D54" s="608"/>
      <c r="E54" s="608"/>
      <c r="F54" s="49"/>
      <c r="G54" s="49"/>
      <c r="N54" s="45"/>
      <c r="P54" s="45"/>
      <c r="Q54" s="49"/>
      <c r="R54" s="49"/>
      <c r="S54" s="45"/>
      <c r="T54" s="45"/>
      <c r="U54" s="45"/>
      <c r="V54" s="45"/>
      <c r="W54" s="49"/>
      <c r="X54" s="45"/>
      <c r="Y54" s="45"/>
      <c r="Z54" s="609"/>
      <c r="AA54" s="45"/>
      <c r="AB54" s="45"/>
      <c r="AC54" s="45"/>
      <c r="AD54" s="45"/>
      <c r="AE54" s="45"/>
      <c r="AF54" s="48"/>
      <c r="AG54" s="47"/>
      <c r="AH54" s="47"/>
      <c r="AI54" s="47"/>
      <c r="AJ54" s="47"/>
      <c r="AK54" s="124" t="n">
        <v>11</v>
      </c>
    </row>
    <row r="55" s="124" customFormat="true" ht="11.25" hidden="false" customHeight="true" outlineLevel="0" collapsed="false">
      <c r="A55" s="608"/>
      <c r="B55" s="608"/>
      <c r="C55" s="608"/>
      <c r="D55" s="608"/>
      <c r="E55" s="608"/>
      <c r="F55" s="49"/>
      <c r="G55" s="49"/>
      <c r="N55" s="45"/>
      <c r="P55" s="45"/>
      <c r="Q55" s="49"/>
      <c r="R55" s="49"/>
      <c r="S55" s="45"/>
      <c r="T55" s="45"/>
      <c r="U55" s="45"/>
      <c r="V55" s="45"/>
      <c r="W55" s="49"/>
      <c r="X55" s="45"/>
      <c r="Y55" s="45"/>
      <c r="Z55" s="609"/>
      <c r="AA55" s="45"/>
      <c r="AB55" s="45"/>
      <c r="AC55" s="45"/>
      <c r="AD55" s="45"/>
      <c r="AE55" s="45"/>
      <c r="AF55" s="48"/>
      <c r="AG55" s="47"/>
      <c r="AH55" s="47"/>
      <c r="AI55" s="47"/>
      <c r="AJ55" s="47"/>
      <c r="AK55" s="124" t="n">
        <v>11</v>
      </c>
    </row>
    <row r="56" s="124" customFormat="true" ht="11.25" hidden="false" customHeight="true" outlineLevel="0" collapsed="false">
      <c r="A56" s="608"/>
      <c r="B56" s="608"/>
      <c r="C56" s="608"/>
      <c r="D56" s="608"/>
      <c r="E56" s="608"/>
      <c r="F56" s="49"/>
      <c r="G56" s="49"/>
      <c r="N56" s="45"/>
      <c r="P56" s="45"/>
      <c r="Q56" s="49"/>
      <c r="R56" s="49"/>
      <c r="S56" s="45"/>
      <c r="T56" s="45"/>
      <c r="U56" s="45"/>
      <c r="V56" s="45"/>
      <c r="W56" s="49"/>
      <c r="X56" s="45"/>
      <c r="Y56" s="45"/>
      <c r="Z56" s="609"/>
      <c r="AA56" s="45"/>
      <c r="AB56" s="45"/>
      <c r="AC56" s="45"/>
      <c r="AD56" s="45"/>
      <c r="AE56" s="45"/>
      <c r="AF56" s="48"/>
      <c r="AG56" s="47"/>
      <c r="AH56" s="47"/>
      <c r="AI56" s="47"/>
      <c r="AJ56" s="47"/>
      <c r="AK56" s="124" t="n">
        <v>11</v>
      </c>
    </row>
    <row r="57" s="124" customFormat="true" ht="11.25" hidden="false" customHeight="true" outlineLevel="0" collapsed="false">
      <c r="A57" s="608"/>
      <c r="B57" s="608"/>
      <c r="C57" s="608"/>
      <c r="D57" s="608"/>
      <c r="E57" s="608"/>
      <c r="F57" s="49"/>
      <c r="G57" s="49"/>
      <c r="N57" s="45"/>
      <c r="P57" s="45"/>
      <c r="Q57" s="49"/>
      <c r="R57" s="49"/>
      <c r="S57" s="45"/>
      <c r="T57" s="45"/>
      <c r="U57" s="45"/>
      <c r="V57" s="45"/>
      <c r="W57" s="49"/>
      <c r="X57" s="45"/>
      <c r="Y57" s="45"/>
      <c r="Z57" s="609"/>
      <c r="AA57" s="45"/>
      <c r="AB57" s="45"/>
      <c r="AC57" s="45"/>
      <c r="AD57" s="45"/>
      <c r="AE57" s="45"/>
      <c r="AF57" s="48"/>
      <c r="AG57" s="47"/>
      <c r="AH57" s="47"/>
      <c r="AI57" s="47"/>
      <c r="AJ57" s="47"/>
      <c r="AK57" s="124" t="n">
        <v>11</v>
      </c>
    </row>
    <row r="58" s="124" customFormat="true" ht="11.25" hidden="false" customHeight="true" outlineLevel="0" collapsed="false">
      <c r="A58" s="608"/>
      <c r="B58" s="608"/>
      <c r="C58" s="608"/>
      <c r="D58" s="608"/>
      <c r="E58" s="608"/>
      <c r="F58" s="49"/>
      <c r="G58" s="49"/>
      <c r="N58" s="45"/>
      <c r="P58" s="45"/>
      <c r="Q58" s="49"/>
      <c r="R58" s="49"/>
      <c r="S58" s="45"/>
      <c r="T58" s="45"/>
      <c r="U58" s="45"/>
      <c r="V58" s="45"/>
      <c r="W58" s="49"/>
      <c r="X58" s="45"/>
      <c r="Y58" s="45"/>
      <c r="Z58" s="609"/>
      <c r="AA58" s="45"/>
      <c r="AB58" s="45"/>
      <c r="AC58" s="45"/>
      <c r="AD58" s="45"/>
      <c r="AE58" s="45"/>
      <c r="AF58" s="48"/>
      <c r="AG58" s="47"/>
      <c r="AH58" s="47"/>
      <c r="AI58" s="47"/>
      <c r="AJ58" s="47"/>
      <c r="AK58" s="124" t="n">
        <v>11</v>
      </c>
    </row>
    <row r="59" s="124" customFormat="true" ht="11.25" hidden="false" customHeight="true" outlineLevel="0" collapsed="false">
      <c r="A59" s="608"/>
      <c r="B59" s="608"/>
      <c r="C59" s="608"/>
      <c r="D59" s="608"/>
      <c r="E59" s="608"/>
      <c r="F59" s="49"/>
      <c r="G59" s="49"/>
      <c r="N59" s="45"/>
      <c r="P59" s="45"/>
      <c r="Q59" s="49"/>
      <c r="R59" s="49"/>
      <c r="S59" s="45"/>
      <c r="T59" s="45"/>
      <c r="U59" s="45"/>
      <c r="V59" s="45"/>
      <c r="W59" s="49"/>
      <c r="X59" s="45"/>
      <c r="Y59" s="45"/>
      <c r="Z59" s="609"/>
      <c r="AA59" s="45"/>
      <c r="AB59" s="45"/>
      <c r="AC59" s="45"/>
      <c r="AD59" s="45"/>
      <c r="AE59" s="45"/>
      <c r="AF59" s="48"/>
      <c r="AG59" s="47"/>
      <c r="AH59" s="47"/>
      <c r="AI59" s="47"/>
      <c r="AJ59" s="47"/>
      <c r="AK59" s="124" t="n">
        <v>11</v>
      </c>
    </row>
    <row r="60" s="124" customFormat="true" ht="11.25" hidden="false" customHeight="true" outlineLevel="0" collapsed="false">
      <c r="A60" s="608"/>
      <c r="B60" s="608"/>
      <c r="C60" s="608"/>
      <c r="D60" s="608"/>
      <c r="E60" s="608"/>
      <c r="F60" s="49"/>
      <c r="G60" s="49"/>
      <c r="N60" s="45"/>
      <c r="P60" s="45"/>
      <c r="Q60" s="49"/>
      <c r="R60" s="49"/>
      <c r="S60" s="45"/>
      <c r="T60" s="45"/>
      <c r="U60" s="45"/>
      <c r="V60" s="45"/>
      <c r="W60" s="49"/>
      <c r="X60" s="45"/>
      <c r="Y60" s="45"/>
      <c r="Z60" s="609"/>
      <c r="AA60" s="45"/>
      <c r="AB60" s="45"/>
      <c r="AC60" s="45"/>
      <c r="AD60" s="45"/>
      <c r="AE60" s="45"/>
      <c r="AF60" s="48"/>
      <c r="AG60" s="47"/>
      <c r="AH60" s="47"/>
      <c r="AI60" s="47"/>
      <c r="AJ60" s="47"/>
      <c r="AK60" s="124" t="n">
        <v>11</v>
      </c>
    </row>
    <row r="61" s="124" customFormat="true" ht="11.25" hidden="false" customHeight="true" outlineLevel="0" collapsed="false">
      <c r="A61" s="608"/>
      <c r="B61" s="608"/>
      <c r="C61" s="608"/>
      <c r="D61" s="608"/>
      <c r="E61" s="608"/>
      <c r="F61" s="49"/>
      <c r="G61" s="49"/>
      <c r="N61" s="45"/>
      <c r="P61" s="45"/>
      <c r="Q61" s="49"/>
      <c r="R61" s="49"/>
      <c r="S61" s="45"/>
      <c r="T61" s="45"/>
      <c r="U61" s="45"/>
      <c r="V61" s="45"/>
      <c r="W61" s="49"/>
      <c r="X61" s="45"/>
      <c r="Y61" s="45"/>
      <c r="Z61" s="609"/>
      <c r="AA61" s="45"/>
      <c r="AB61" s="45"/>
      <c r="AC61" s="45"/>
      <c r="AD61" s="45"/>
      <c r="AE61" s="45"/>
      <c r="AF61" s="48"/>
      <c r="AG61" s="47"/>
      <c r="AH61" s="47"/>
      <c r="AI61" s="47"/>
      <c r="AJ61" s="47"/>
      <c r="AK61" s="124" t="n">
        <v>11</v>
      </c>
    </row>
    <row r="62" s="124" customFormat="true" ht="11.25" hidden="false" customHeight="true" outlineLevel="0" collapsed="false">
      <c r="A62" s="608"/>
      <c r="B62" s="608"/>
      <c r="C62" s="608"/>
      <c r="D62" s="608"/>
      <c r="E62" s="608"/>
      <c r="F62" s="49"/>
      <c r="G62" s="49"/>
      <c r="N62" s="45"/>
      <c r="P62" s="45"/>
      <c r="Q62" s="49"/>
      <c r="R62" s="49"/>
      <c r="S62" s="45"/>
      <c r="T62" s="45"/>
      <c r="U62" s="45"/>
      <c r="V62" s="45"/>
      <c r="W62" s="49"/>
      <c r="X62" s="45"/>
      <c r="Y62" s="45"/>
      <c r="Z62" s="609"/>
      <c r="AA62" s="45"/>
      <c r="AB62" s="45"/>
      <c r="AC62" s="45"/>
      <c r="AD62" s="45"/>
      <c r="AE62" s="45"/>
      <c r="AF62" s="48"/>
      <c r="AG62" s="47"/>
      <c r="AH62" s="47"/>
      <c r="AI62" s="47"/>
      <c r="AJ62" s="47"/>
      <c r="AK62" s="124" t="n">
        <v>11</v>
      </c>
    </row>
    <row r="63" s="124" customFormat="true" ht="11.25" hidden="false" customHeight="true" outlineLevel="0" collapsed="false">
      <c r="A63" s="608"/>
      <c r="B63" s="608"/>
      <c r="C63" s="608"/>
      <c r="D63" s="608"/>
      <c r="E63" s="608"/>
      <c r="F63" s="49"/>
      <c r="G63" s="49"/>
      <c r="N63" s="45"/>
      <c r="P63" s="45"/>
      <c r="Q63" s="49"/>
      <c r="R63" s="49"/>
      <c r="S63" s="45"/>
      <c r="T63" s="45"/>
      <c r="U63" s="45"/>
      <c r="V63" s="45"/>
      <c r="W63" s="49"/>
      <c r="X63" s="45"/>
      <c r="Y63" s="45"/>
      <c r="Z63" s="609"/>
      <c r="AA63" s="45"/>
      <c r="AB63" s="45"/>
      <c r="AC63" s="45"/>
      <c r="AD63" s="45"/>
      <c r="AE63" s="45"/>
      <c r="AF63" s="48"/>
      <c r="AG63" s="47"/>
      <c r="AH63" s="47"/>
      <c r="AI63" s="47"/>
      <c r="AJ63" s="47"/>
      <c r="AK63" s="124" t="n">
        <v>11</v>
      </c>
    </row>
    <row r="64" s="124" customFormat="true" ht="11.25" hidden="false" customHeight="true" outlineLevel="0" collapsed="false">
      <c r="A64" s="608"/>
      <c r="B64" s="608"/>
      <c r="C64" s="608"/>
      <c r="D64" s="608"/>
      <c r="E64" s="608"/>
      <c r="F64" s="49"/>
      <c r="G64" s="49"/>
      <c r="N64" s="45"/>
      <c r="P64" s="45"/>
      <c r="Q64" s="49"/>
      <c r="R64" s="49"/>
      <c r="S64" s="45"/>
      <c r="T64" s="45"/>
      <c r="U64" s="45"/>
      <c r="V64" s="45"/>
      <c r="W64" s="49"/>
      <c r="X64" s="45"/>
      <c r="Y64" s="45"/>
      <c r="Z64" s="609"/>
      <c r="AA64" s="45"/>
      <c r="AB64" s="45"/>
      <c r="AC64" s="45"/>
      <c r="AD64" s="45"/>
      <c r="AE64" s="45"/>
      <c r="AF64" s="48"/>
      <c r="AG64" s="47"/>
      <c r="AH64" s="47"/>
      <c r="AI64" s="47"/>
      <c r="AJ64" s="47"/>
      <c r="AK64" s="124" t="n">
        <v>11</v>
      </c>
    </row>
    <row r="65" s="124" customFormat="true" ht="11.25" hidden="false" customHeight="true" outlineLevel="0" collapsed="false">
      <c r="A65" s="608"/>
      <c r="B65" s="608"/>
      <c r="C65" s="608"/>
      <c r="D65" s="608"/>
      <c r="E65" s="608"/>
      <c r="F65" s="49"/>
      <c r="G65" s="49"/>
      <c r="N65" s="45"/>
      <c r="P65" s="45"/>
      <c r="Q65" s="49"/>
      <c r="R65" s="49"/>
      <c r="S65" s="45"/>
      <c r="T65" s="45"/>
      <c r="U65" s="45"/>
      <c r="V65" s="45"/>
      <c r="W65" s="49"/>
      <c r="X65" s="45"/>
      <c r="Y65" s="45"/>
      <c r="Z65" s="609"/>
      <c r="AA65" s="45"/>
      <c r="AB65" s="45"/>
      <c r="AC65" s="45"/>
      <c r="AD65" s="45"/>
      <c r="AE65" s="45"/>
      <c r="AF65" s="48"/>
      <c r="AG65" s="47"/>
      <c r="AH65" s="47"/>
      <c r="AI65" s="47"/>
      <c r="AJ65" s="47"/>
      <c r="AK65" s="124" t="n">
        <v>11</v>
      </c>
    </row>
    <row r="66" s="124" customFormat="true" ht="11.25" hidden="false" customHeight="true" outlineLevel="0" collapsed="false">
      <c r="A66" s="608"/>
      <c r="B66" s="608"/>
      <c r="C66" s="608"/>
      <c r="D66" s="608"/>
      <c r="E66" s="608"/>
      <c r="F66" s="49"/>
      <c r="G66" s="49"/>
      <c r="N66" s="45"/>
      <c r="P66" s="45"/>
      <c r="Q66" s="49"/>
      <c r="R66" s="49"/>
      <c r="S66" s="45"/>
      <c r="T66" s="45"/>
      <c r="U66" s="45"/>
      <c r="V66" s="45"/>
      <c r="W66" s="49"/>
      <c r="X66" s="45"/>
      <c r="Y66" s="45"/>
      <c r="Z66" s="609"/>
      <c r="AA66" s="45"/>
      <c r="AB66" s="45"/>
      <c r="AC66" s="45"/>
      <c r="AD66" s="45"/>
      <c r="AE66" s="45"/>
      <c r="AF66" s="48"/>
      <c r="AG66" s="47"/>
      <c r="AH66" s="47"/>
      <c r="AI66" s="47"/>
      <c r="AJ66" s="47"/>
      <c r="AK66" s="124" t="n">
        <v>11</v>
      </c>
    </row>
    <row r="67" s="124" customFormat="true" ht="11.25" hidden="false" customHeight="true" outlineLevel="0" collapsed="false">
      <c r="A67" s="608"/>
      <c r="B67" s="608"/>
      <c r="C67" s="608"/>
      <c r="D67" s="608"/>
      <c r="E67" s="608"/>
      <c r="F67" s="49"/>
      <c r="G67" s="49"/>
      <c r="N67" s="45"/>
      <c r="P67" s="45"/>
      <c r="Q67" s="49"/>
      <c r="R67" s="49"/>
      <c r="S67" s="45"/>
      <c r="T67" s="45"/>
      <c r="U67" s="45"/>
      <c r="V67" s="45"/>
      <c r="W67" s="49"/>
      <c r="X67" s="45"/>
      <c r="Y67" s="45"/>
      <c r="Z67" s="609"/>
      <c r="AA67" s="45"/>
      <c r="AB67" s="45"/>
      <c r="AC67" s="45"/>
      <c r="AD67" s="45"/>
      <c r="AE67" s="45"/>
      <c r="AF67" s="48"/>
      <c r="AG67" s="47"/>
      <c r="AH67" s="47"/>
      <c r="AI67" s="47"/>
      <c r="AJ67" s="47"/>
      <c r="AK67" s="124" t="n">
        <v>11</v>
      </c>
    </row>
    <row r="68" s="124" customFormat="true" ht="11.25" hidden="false" customHeight="true" outlineLevel="0" collapsed="false">
      <c r="A68" s="608"/>
      <c r="B68" s="608"/>
      <c r="C68" s="608"/>
      <c r="D68" s="608"/>
      <c r="E68" s="608"/>
      <c r="F68" s="49"/>
      <c r="G68" s="49"/>
      <c r="N68" s="45"/>
      <c r="P68" s="45"/>
      <c r="Q68" s="49"/>
      <c r="R68" s="49"/>
      <c r="S68" s="45"/>
      <c r="T68" s="45"/>
      <c r="U68" s="45"/>
      <c r="V68" s="45"/>
      <c r="W68" s="49"/>
      <c r="X68" s="45"/>
      <c r="Y68" s="45"/>
      <c r="Z68" s="609"/>
      <c r="AA68" s="45"/>
      <c r="AB68" s="45"/>
      <c r="AC68" s="45"/>
      <c r="AD68" s="45"/>
      <c r="AE68" s="45"/>
      <c r="AF68" s="48"/>
      <c r="AG68" s="47"/>
      <c r="AH68" s="47"/>
      <c r="AI68" s="47"/>
      <c r="AJ68" s="47"/>
      <c r="AK68" s="124" t="n">
        <v>11</v>
      </c>
    </row>
    <row r="69" s="124" customFormat="true" ht="11.25" hidden="false" customHeight="true" outlineLevel="0" collapsed="false">
      <c r="A69" s="608"/>
      <c r="B69" s="608"/>
      <c r="C69" s="608"/>
      <c r="D69" s="608"/>
      <c r="E69" s="608"/>
      <c r="F69" s="49"/>
      <c r="G69" s="49"/>
      <c r="N69" s="45"/>
      <c r="P69" s="45"/>
      <c r="Q69" s="49"/>
      <c r="R69" s="49"/>
      <c r="S69" s="45"/>
      <c r="T69" s="45"/>
      <c r="U69" s="45"/>
      <c r="V69" s="45"/>
      <c r="W69" s="49"/>
      <c r="X69" s="45"/>
      <c r="Y69" s="45"/>
      <c r="Z69" s="609"/>
      <c r="AA69" s="45"/>
      <c r="AB69" s="45"/>
      <c r="AC69" s="45"/>
      <c r="AD69" s="45"/>
      <c r="AE69" s="45"/>
      <c r="AF69" s="48"/>
      <c r="AG69" s="47"/>
      <c r="AH69" s="47"/>
      <c r="AI69" s="47"/>
      <c r="AJ69" s="47"/>
      <c r="AK69" s="124" t="n">
        <v>11</v>
      </c>
    </row>
    <row r="70" s="124" customFormat="true" ht="11.25" hidden="false" customHeight="true" outlineLevel="0" collapsed="false">
      <c r="A70" s="608"/>
      <c r="B70" s="608"/>
      <c r="C70" s="608"/>
      <c r="D70" s="608"/>
      <c r="E70" s="608"/>
      <c r="F70" s="49"/>
      <c r="G70" s="49"/>
      <c r="N70" s="45"/>
      <c r="P70" s="45"/>
      <c r="Q70" s="49"/>
      <c r="R70" s="49"/>
      <c r="S70" s="45"/>
      <c r="T70" s="45"/>
      <c r="U70" s="45"/>
      <c r="V70" s="45"/>
      <c r="W70" s="49"/>
      <c r="X70" s="45"/>
      <c r="Y70" s="45"/>
      <c r="Z70" s="609"/>
      <c r="AA70" s="45"/>
      <c r="AB70" s="45"/>
      <c r="AC70" s="45"/>
      <c r="AD70" s="45"/>
      <c r="AE70" s="45"/>
      <c r="AF70" s="48"/>
      <c r="AG70" s="47"/>
      <c r="AH70" s="47"/>
      <c r="AI70" s="47"/>
      <c r="AJ70" s="47"/>
      <c r="AK70" s="124" t="n">
        <v>11</v>
      </c>
    </row>
    <row r="71" s="124" customFormat="true" ht="11.25" hidden="false" customHeight="true" outlineLevel="0" collapsed="false">
      <c r="A71" s="608"/>
      <c r="B71" s="608"/>
      <c r="C71" s="608"/>
      <c r="D71" s="608"/>
      <c r="E71" s="608"/>
      <c r="F71" s="49"/>
      <c r="G71" s="49"/>
      <c r="N71" s="45"/>
      <c r="P71" s="45"/>
      <c r="Q71" s="49"/>
      <c r="R71" s="49"/>
      <c r="S71" s="45"/>
      <c r="T71" s="45"/>
      <c r="U71" s="45"/>
      <c r="V71" s="45"/>
      <c r="W71" s="49"/>
      <c r="X71" s="45"/>
      <c r="Y71" s="45"/>
      <c r="Z71" s="609"/>
      <c r="AA71" s="45"/>
      <c r="AB71" s="45"/>
      <c r="AC71" s="45"/>
      <c r="AD71" s="45"/>
      <c r="AE71" s="45"/>
      <c r="AF71" s="48"/>
      <c r="AG71" s="47"/>
      <c r="AH71" s="47"/>
      <c r="AI71" s="47"/>
      <c r="AJ71" s="47"/>
      <c r="AK71" s="124" t="n">
        <v>11</v>
      </c>
    </row>
    <row r="72" s="124" customFormat="true" ht="11.25" hidden="false" customHeight="true" outlineLevel="0" collapsed="false">
      <c r="A72" s="608"/>
      <c r="B72" s="608"/>
      <c r="C72" s="608"/>
      <c r="D72" s="608"/>
      <c r="E72" s="608"/>
      <c r="F72" s="49"/>
      <c r="G72" s="49"/>
      <c r="N72" s="45"/>
      <c r="P72" s="45"/>
      <c r="Q72" s="49"/>
      <c r="R72" s="49"/>
      <c r="S72" s="45"/>
      <c r="T72" s="45"/>
      <c r="U72" s="45"/>
      <c r="V72" s="45"/>
      <c r="W72" s="49"/>
      <c r="X72" s="45"/>
      <c r="Y72" s="45"/>
      <c r="Z72" s="609"/>
      <c r="AA72" s="45"/>
      <c r="AB72" s="45"/>
      <c r="AC72" s="45"/>
      <c r="AD72" s="45"/>
      <c r="AE72" s="45"/>
      <c r="AF72" s="48"/>
      <c r="AG72" s="47"/>
      <c r="AH72" s="47"/>
      <c r="AI72" s="47"/>
      <c r="AJ72" s="47"/>
      <c r="AK72" s="124" t="n">
        <v>11</v>
      </c>
    </row>
    <row r="73" s="124" customFormat="true" ht="11.25" hidden="false" customHeight="true" outlineLevel="0" collapsed="false">
      <c r="A73" s="608"/>
      <c r="B73" s="608"/>
      <c r="C73" s="608"/>
      <c r="D73" s="608"/>
      <c r="E73" s="608"/>
      <c r="F73" s="49"/>
      <c r="G73" s="49"/>
      <c r="N73" s="45"/>
      <c r="P73" s="45"/>
      <c r="Q73" s="49"/>
      <c r="R73" s="49"/>
      <c r="S73" s="45"/>
      <c r="T73" s="45"/>
      <c r="U73" s="45"/>
      <c r="V73" s="45"/>
      <c r="W73" s="49"/>
      <c r="X73" s="45"/>
      <c r="Y73" s="45"/>
      <c r="Z73" s="609"/>
      <c r="AA73" s="45"/>
      <c r="AB73" s="45"/>
      <c r="AC73" s="45"/>
      <c r="AD73" s="45"/>
      <c r="AE73" s="45"/>
      <c r="AF73" s="48"/>
      <c r="AG73" s="47"/>
      <c r="AH73" s="47"/>
      <c r="AI73" s="47"/>
      <c r="AJ73" s="47"/>
      <c r="AK73" s="124" t="n">
        <v>11</v>
      </c>
    </row>
    <row r="74" s="124" customFormat="true" ht="11.25" hidden="false" customHeight="true" outlineLevel="0" collapsed="false">
      <c r="A74" s="608"/>
      <c r="B74" s="608"/>
      <c r="C74" s="608"/>
      <c r="D74" s="608"/>
      <c r="E74" s="608"/>
      <c r="F74" s="49"/>
      <c r="G74" s="49"/>
      <c r="N74" s="45"/>
      <c r="P74" s="45"/>
      <c r="Q74" s="49"/>
      <c r="R74" s="49"/>
      <c r="S74" s="45"/>
      <c r="T74" s="45"/>
      <c r="U74" s="45"/>
      <c r="V74" s="45"/>
      <c r="W74" s="49"/>
      <c r="X74" s="45"/>
      <c r="Y74" s="45"/>
      <c r="Z74" s="609"/>
      <c r="AA74" s="45"/>
      <c r="AB74" s="45"/>
      <c r="AC74" s="45"/>
      <c r="AD74" s="45"/>
      <c r="AE74" s="45"/>
      <c r="AF74" s="48"/>
      <c r="AG74" s="47"/>
      <c r="AH74" s="47"/>
      <c r="AI74" s="47"/>
      <c r="AJ74" s="47"/>
      <c r="AK74" s="124" t="n">
        <v>11</v>
      </c>
    </row>
    <row r="75" s="124" customFormat="true" ht="11.25" hidden="false" customHeight="true" outlineLevel="0" collapsed="false">
      <c r="A75" s="608"/>
      <c r="B75" s="608"/>
      <c r="C75" s="608"/>
      <c r="D75" s="608"/>
      <c r="E75" s="608"/>
      <c r="F75" s="49"/>
      <c r="G75" s="49"/>
      <c r="N75" s="45"/>
      <c r="P75" s="45"/>
      <c r="Q75" s="49"/>
      <c r="R75" s="49"/>
      <c r="S75" s="45"/>
      <c r="T75" s="45"/>
      <c r="U75" s="45"/>
      <c r="V75" s="45"/>
      <c r="W75" s="49"/>
      <c r="X75" s="45"/>
      <c r="Y75" s="45"/>
      <c r="Z75" s="609"/>
      <c r="AA75" s="45"/>
      <c r="AB75" s="45"/>
      <c r="AC75" s="45"/>
      <c r="AD75" s="45"/>
      <c r="AE75" s="45"/>
      <c r="AF75" s="48"/>
      <c r="AG75" s="47"/>
      <c r="AH75" s="47"/>
      <c r="AI75" s="47"/>
      <c r="AJ75" s="47"/>
      <c r="AK75" s="124" t="n">
        <v>11</v>
      </c>
    </row>
    <row r="76" s="124" customFormat="true" ht="11.25" hidden="false" customHeight="true" outlineLevel="0" collapsed="false">
      <c r="A76" s="608"/>
      <c r="B76" s="608"/>
      <c r="C76" s="608"/>
      <c r="D76" s="608"/>
      <c r="E76" s="608"/>
      <c r="F76" s="49"/>
      <c r="G76" s="49"/>
      <c r="N76" s="45"/>
      <c r="P76" s="45"/>
      <c r="Q76" s="49"/>
      <c r="R76" s="49"/>
      <c r="S76" s="45"/>
      <c r="T76" s="45"/>
      <c r="U76" s="45"/>
      <c r="V76" s="45"/>
      <c r="W76" s="49"/>
      <c r="X76" s="45"/>
      <c r="Y76" s="45"/>
      <c r="Z76" s="609"/>
      <c r="AA76" s="45"/>
      <c r="AB76" s="45"/>
      <c r="AC76" s="45"/>
      <c r="AD76" s="45"/>
      <c r="AE76" s="45"/>
      <c r="AF76" s="48"/>
      <c r="AG76" s="47"/>
      <c r="AH76" s="47"/>
      <c r="AI76" s="47"/>
      <c r="AJ76" s="47"/>
      <c r="AK76" s="124" t="n">
        <v>11</v>
      </c>
    </row>
    <row r="77" s="124" customFormat="true" ht="11.25" hidden="false" customHeight="true" outlineLevel="0" collapsed="false">
      <c r="A77" s="608"/>
      <c r="B77" s="608"/>
      <c r="C77" s="608"/>
      <c r="D77" s="608"/>
      <c r="E77" s="608"/>
      <c r="F77" s="49"/>
      <c r="G77" s="49"/>
      <c r="N77" s="45"/>
      <c r="P77" s="45"/>
      <c r="Q77" s="49"/>
      <c r="R77" s="49"/>
      <c r="S77" s="45"/>
      <c r="T77" s="45"/>
      <c r="U77" s="45"/>
      <c r="V77" s="45"/>
      <c r="W77" s="49"/>
      <c r="X77" s="45"/>
      <c r="Y77" s="45"/>
      <c r="Z77" s="609"/>
      <c r="AA77" s="45"/>
      <c r="AB77" s="45"/>
      <c r="AC77" s="45"/>
      <c r="AD77" s="45"/>
      <c r="AE77" s="45"/>
      <c r="AF77" s="48"/>
      <c r="AG77" s="47"/>
      <c r="AH77" s="47"/>
      <c r="AI77" s="47"/>
      <c r="AJ77" s="47"/>
      <c r="AK77" s="124" t="n">
        <v>11</v>
      </c>
    </row>
    <row r="78" s="124" customFormat="true" ht="11.25" hidden="false" customHeight="true" outlineLevel="0" collapsed="false">
      <c r="A78" s="608"/>
      <c r="B78" s="608"/>
      <c r="C78" s="608"/>
      <c r="D78" s="608"/>
      <c r="E78" s="608"/>
      <c r="F78" s="49"/>
      <c r="G78" s="49"/>
      <c r="N78" s="45"/>
      <c r="P78" s="45"/>
      <c r="Q78" s="49"/>
      <c r="R78" s="49"/>
      <c r="S78" s="45"/>
      <c r="T78" s="45"/>
      <c r="U78" s="45"/>
      <c r="V78" s="45"/>
      <c r="W78" s="49"/>
      <c r="X78" s="45"/>
      <c r="Y78" s="45"/>
      <c r="Z78" s="609"/>
      <c r="AA78" s="45"/>
      <c r="AB78" s="45"/>
      <c r="AC78" s="45"/>
      <c r="AD78" s="45"/>
      <c r="AE78" s="45"/>
      <c r="AF78" s="48"/>
      <c r="AG78" s="47"/>
      <c r="AH78" s="47"/>
      <c r="AI78" s="47"/>
      <c r="AJ78" s="47"/>
      <c r="AK78" s="124" t="n">
        <v>11</v>
      </c>
    </row>
    <row r="79" s="124" customFormat="true" ht="11.25" hidden="false" customHeight="true" outlineLevel="0" collapsed="false">
      <c r="A79" s="608"/>
      <c r="B79" s="608"/>
      <c r="C79" s="608"/>
      <c r="D79" s="608"/>
      <c r="E79" s="608"/>
      <c r="F79" s="49"/>
      <c r="G79" s="49"/>
      <c r="N79" s="45"/>
      <c r="P79" s="45"/>
      <c r="Q79" s="49"/>
      <c r="R79" s="49"/>
      <c r="S79" s="45"/>
      <c r="T79" s="45"/>
      <c r="U79" s="45"/>
      <c r="V79" s="45"/>
      <c r="W79" s="49"/>
      <c r="X79" s="45"/>
      <c r="Y79" s="45"/>
      <c r="Z79" s="609"/>
      <c r="AA79" s="45"/>
      <c r="AB79" s="45"/>
      <c r="AC79" s="45"/>
      <c r="AD79" s="45"/>
      <c r="AE79" s="45"/>
      <c r="AF79" s="48"/>
      <c r="AG79" s="47"/>
      <c r="AH79" s="47"/>
      <c r="AI79" s="47"/>
      <c r="AJ79" s="47"/>
      <c r="AK79" s="124" t="n">
        <v>11</v>
      </c>
    </row>
    <row r="80" s="124" customFormat="true" ht="11.25" hidden="false" customHeight="true" outlineLevel="0" collapsed="false">
      <c r="A80" s="608"/>
      <c r="B80" s="608"/>
      <c r="C80" s="608"/>
      <c r="D80" s="608"/>
      <c r="E80" s="608"/>
      <c r="F80" s="49"/>
      <c r="G80" s="49"/>
      <c r="N80" s="45"/>
      <c r="P80" s="45"/>
      <c r="Q80" s="49"/>
      <c r="R80" s="49"/>
      <c r="S80" s="45"/>
      <c r="T80" s="45"/>
      <c r="U80" s="45"/>
      <c r="V80" s="45"/>
      <c r="W80" s="49"/>
      <c r="X80" s="45"/>
      <c r="Y80" s="45"/>
      <c r="Z80" s="609"/>
      <c r="AA80" s="45"/>
      <c r="AB80" s="45"/>
      <c r="AC80" s="45"/>
      <c r="AD80" s="45"/>
      <c r="AE80" s="45"/>
      <c r="AF80" s="48"/>
      <c r="AG80" s="47"/>
      <c r="AH80" s="47"/>
      <c r="AI80" s="47"/>
      <c r="AJ80" s="47"/>
      <c r="AK80" s="124" t="n">
        <v>11</v>
      </c>
    </row>
    <row r="81" s="124" customFormat="true" ht="11.25" hidden="false" customHeight="true" outlineLevel="0" collapsed="false">
      <c r="A81" s="608"/>
      <c r="B81" s="608"/>
      <c r="C81" s="608"/>
      <c r="D81" s="608"/>
      <c r="E81" s="608"/>
      <c r="F81" s="49"/>
      <c r="G81" s="49"/>
      <c r="N81" s="45"/>
      <c r="P81" s="45"/>
      <c r="Q81" s="49"/>
      <c r="R81" s="49"/>
      <c r="S81" s="45"/>
      <c r="T81" s="45"/>
      <c r="U81" s="45"/>
      <c r="V81" s="45"/>
      <c r="W81" s="49"/>
      <c r="X81" s="45"/>
      <c r="Y81" s="45"/>
      <c r="Z81" s="609"/>
      <c r="AA81" s="45"/>
      <c r="AB81" s="45"/>
      <c r="AC81" s="45"/>
      <c r="AD81" s="45"/>
      <c r="AE81" s="45"/>
      <c r="AF81" s="48"/>
      <c r="AG81" s="47"/>
      <c r="AH81" s="47"/>
      <c r="AI81" s="47"/>
      <c r="AJ81" s="47"/>
      <c r="AK81" s="124" t="n">
        <v>11</v>
      </c>
    </row>
    <row r="82" s="124" customFormat="true" ht="11.25" hidden="false" customHeight="true" outlineLevel="0" collapsed="false">
      <c r="A82" s="608"/>
      <c r="B82" s="608"/>
      <c r="C82" s="608"/>
      <c r="D82" s="608"/>
      <c r="E82" s="608"/>
      <c r="F82" s="49"/>
      <c r="G82" s="49"/>
      <c r="N82" s="45"/>
      <c r="P82" s="45"/>
      <c r="Q82" s="49"/>
      <c r="R82" s="49"/>
      <c r="S82" s="45"/>
      <c r="T82" s="45"/>
      <c r="U82" s="45"/>
      <c r="V82" s="45"/>
      <c r="W82" s="49"/>
      <c r="X82" s="45"/>
      <c r="Y82" s="45"/>
      <c r="Z82" s="609"/>
      <c r="AA82" s="45"/>
      <c r="AB82" s="45"/>
      <c r="AC82" s="45"/>
      <c r="AD82" s="45"/>
      <c r="AE82" s="45"/>
      <c r="AF82" s="48"/>
      <c r="AG82" s="47"/>
      <c r="AH82" s="47"/>
      <c r="AI82" s="47"/>
      <c r="AJ82" s="47"/>
      <c r="AK82" s="124" t="n">
        <v>11</v>
      </c>
    </row>
    <row r="83" s="124" customFormat="true" ht="11.25" hidden="false" customHeight="true" outlineLevel="0" collapsed="false">
      <c r="A83" s="608"/>
      <c r="B83" s="608"/>
      <c r="C83" s="608"/>
      <c r="D83" s="608"/>
      <c r="E83" s="608"/>
      <c r="F83" s="49"/>
      <c r="G83" s="49"/>
      <c r="N83" s="45"/>
      <c r="P83" s="45"/>
      <c r="Q83" s="49"/>
      <c r="R83" s="49"/>
      <c r="S83" s="45"/>
      <c r="T83" s="45"/>
      <c r="U83" s="45"/>
      <c r="V83" s="45"/>
      <c r="W83" s="49"/>
      <c r="X83" s="45"/>
      <c r="Y83" s="45"/>
      <c r="Z83" s="609"/>
      <c r="AA83" s="45"/>
      <c r="AB83" s="45"/>
      <c r="AC83" s="45"/>
      <c r="AD83" s="45"/>
      <c r="AE83" s="45"/>
      <c r="AF83" s="48"/>
      <c r="AG83" s="47"/>
      <c r="AH83" s="47"/>
      <c r="AI83" s="47"/>
      <c r="AJ83" s="47"/>
      <c r="AK83" s="124" t="n">
        <v>11</v>
      </c>
    </row>
    <row r="84" s="124" customFormat="true" ht="11.25" hidden="false" customHeight="true" outlineLevel="0" collapsed="false">
      <c r="A84" s="608"/>
      <c r="B84" s="608"/>
      <c r="C84" s="608"/>
      <c r="D84" s="608"/>
      <c r="E84" s="608"/>
      <c r="F84" s="49"/>
      <c r="G84" s="49"/>
      <c r="N84" s="45"/>
      <c r="P84" s="45"/>
      <c r="Q84" s="49"/>
      <c r="R84" s="49"/>
      <c r="S84" s="45"/>
      <c r="T84" s="45"/>
      <c r="U84" s="45"/>
      <c r="V84" s="45"/>
      <c r="W84" s="49"/>
      <c r="X84" s="45"/>
      <c r="Y84" s="45"/>
      <c r="Z84" s="609"/>
      <c r="AA84" s="45"/>
      <c r="AB84" s="45"/>
      <c r="AC84" s="45"/>
      <c r="AD84" s="45"/>
      <c r="AE84" s="45"/>
      <c r="AF84" s="48"/>
      <c r="AG84" s="47"/>
      <c r="AH84" s="47"/>
      <c r="AI84" s="47"/>
      <c r="AJ84" s="47"/>
      <c r="AK84" s="124" t="n">
        <v>11</v>
      </c>
    </row>
    <row r="85" s="124" customFormat="true" ht="11.25" hidden="false" customHeight="true" outlineLevel="0" collapsed="false">
      <c r="A85" s="608"/>
      <c r="B85" s="608"/>
      <c r="C85" s="608"/>
      <c r="D85" s="608"/>
      <c r="E85" s="608"/>
      <c r="F85" s="49"/>
      <c r="G85" s="49"/>
      <c r="N85" s="45"/>
      <c r="P85" s="45"/>
      <c r="Q85" s="49"/>
      <c r="R85" s="49"/>
      <c r="S85" s="45"/>
      <c r="T85" s="45"/>
      <c r="U85" s="45"/>
      <c r="V85" s="45"/>
      <c r="W85" s="49"/>
      <c r="X85" s="45"/>
      <c r="Y85" s="45"/>
      <c r="Z85" s="609"/>
      <c r="AA85" s="45"/>
      <c r="AB85" s="45"/>
      <c r="AC85" s="45"/>
      <c r="AD85" s="45"/>
      <c r="AE85" s="45"/>
      <c r="AF85" s="48"/>
      <c r="AG85" s="47"/>
      <c r="AH85" s="47"/>
      <c r="AI85" s="47"/>
      <c r="AJ85" s="47"/>
      <c r="AK85" s="124" t="n">
        <v>11</v>
      </c>
    </row>
    <row r="86" s="124" customFormat="true" ht="11.25" hidden="false" customHeight="true" outlineLevel="0" collapsed="false">
      <c r="A86" s="608"/>
      <c r="B86" s="608"/>
      <c r="C86" s="608"/>
      <c r="D86" s="608"/>
      <c r="E86" s="608"/>
      <c r="F86" s="49"/>
      <c r="G86" s="49"/>
      <c r="N86" s="45"/>
      <c r="P86" s="45"/>
      <c r="Q86" s="49"/>
      <c r="R86" s="49"/>
      <c r="S86" s="45"/>
      <c r="T86" s="45"/>
      <c r="U86" s="45"/>
      <c r="V86" s="45"/>
      <c r="W86" s="49"/>
      <c r="X86" s="45"/>
      <c r="Y86" s="45"/>
      <c r="Z86" s="609"/>
      <c r="AA86" s="45"/>
      <c r="AB86" s="45"/>
      <c r="AC86" s="45"/>
      <c r="AD86" s="45"/>
      <c r="AE86" s="45"/>
      <c r="AF86" s="48"/>
      <c r="AG86" s="47"/>
      <c r="AH86" s="47"/>
      <c r="AI86" s="47"/>
      <c r="AJ86" s="47"/>
      <c r="AK86" s="124" t="n">
        <v>11</v>
      </c>
    </row>
    <row r="87" s="124" customFormat="true" ht="11.25" hidden="false" customHeight="true" outlineLevel="0" collapsed="false">
      <c r="A87" s="608"/>
      <c r="B87" s="608"/>
      <c r="C87" s="608"/>
      <c r="D87" s="608"/>
      <c r="E87" s="608"/>
      <c r="F87" s="49"/>
      <c r="G87" s="49"/>
      <c r="N87" s="45"/>
      <c r="P87" s="45"/>
      <c r="Q87" s="49"/>
      <c r="R87" s="49"/>
      <c r="S87" s="45"/>
      <c r="T87" s="45"/>
      <c r="U87" s="45"/>
      <c r="V87" s="45"/>
      <c r="W87" s="49"/>
      <c r="X87" s="45"/>
      <c r="Y87" s="45"/>
      <c r="Z87" s="609"/>
      <c r="AA87" s="45"/>
      <c r="AB87" s="45"/>
      <c r="AC87" s="45"/>
      <c r="AD87" s="45"/>
      <c r="AE87" s="45"/>
      <c r="AF87" s="48"/>
      <c r="AG87" s="47"/>
      <c r="AH87" s="47"/>
      <c r="AI87" s="47"/>
      <c r="AJ87" s="47"/>
      <c r="AK87" s="124" t="n">
        <v>11</v>
      </c>
    </row>
    <row r="88" s="124" customFormat="true" ht="11.25" hidden="false" customHeight="true" outlineLevel="0" collapsed="false">
      <c r="A88" s="608"/>
      <c r="B88" s="608"/>
      <c r="C88" s="608"/>
      <c r="D88" s="608"/>
      <c r="E88" s="608"/>
      <c r="F88" s="49"/>
      <c r="G88" s="49"/>
      <c r="N88" s="45"/>
      <c r="P88" s="45"/>
      <c r="Q88" s="49"/>
      <c r="R88" s="49"/>
      <c r="S88" s="45"/>
      <c r="T88" s="45"/>
      <c r="U88" s="45"/>
      <c r="V88" s="45"/>
      <c r="W88" s="49"/>
      <c r="X88" s="45"/>
      <c r="Y88" s="45"/>
      <c r="Z88" s="609"/>
      <c r="AA88" s="45"/>
      <c r="AB88" s="45"/>
      <c r="AC88" s="45"/>
      <c r="AD88" s="45"/>
      <c r="AE88" s="45"/>
      <c r="AF88" s="48"/>
      <c r="AG88" s="47"/>
      <c r="AH88" s="47"/>
      <c r="AI88" s="47"/>
      <c r="AJ88" s="47"/>
      <c r="AK88" s="124" t="n">
        <v>11</v>
      </c>
    </row>
    <row r="89" s="124" customFormat="true" ht="11.25" hidden="false" customHeight="true" outlineLevel="0" collapsed="false">
      <c r="A89" s="608"/>
      <c r="B89" s="608"/>
      <c r="C89" s="608"/>
      <c r="D89" s="608"/>
      <c r="E89" s="608"/>
      <c r="F89" s="49"/>
      <c r="G89" s="49"/>
      <c r="N89" s="45"/>
      <c r="P89" s="45"/>
      <c r="Q89" s="49"/>
      <c r="R89" s="49"/>
      <c r="S89" s="45"/>
      <c r="T89" s="45"/>
      <c r="U89" s="45"/>
      <c r="V89" s="45"/>
      <c r="W89" s="49"/>
      <c r="X89" s="45"/>
      <c r="Y89" s="45"/>
      <c r="Z89" s="609"/>
      <c r="AA89" s="45"/>
      <c r="AB89" s="45"/>
      <c r="AC89" s="45"/>
      <c r="AD89" s="45"/>
      <c r="AE89" s="45"/>
      <c r="AF89" s="48"/>
      <c r="AG89" s="47"/>
      <c r="AH89" s="47"/>
      <c r="AI89" s="47"/>
      <c r="AJ89" s="47"/>
      <c r="AK89" s="124" t="n">
        <v>11</v>
      </c>
    </row>
    <row r="90" s="124" customFormat="true" ht="11.25" hidden="false" customHeight="true" outlineLevel="0" collapsed="false">
      <c r="A90" s="608"/>
      <c r="B90" s="608"/>
      <c r="C90" s="608"/>
      <c r="D90" s="608"/>
      <c r="E90" s="608"/>
      <c r="F90" s="49"/>
      <c r="G90" s="49"/>
      <c r="N90" s="45"/>
      <c r="P90" s="45"/>
      <c r="Q90" s="49"/>
      <c r="R90" s="49"/>
      <c r="S90" s="45"/>
      <c r="T90" s="45"/>
      <c r="U90" s="45"/>
      <c r="V90" s="45"/>
      <c r="W90" s="49"/>
      <c r="X90" s="45"/>
      <c r="Y90" s="45"/>
      <c r="Z90" s="609"/>
      <c r="AA90" s="45"/>
      <c r="AB90" s="45"/>
      <c r="AC90" s="45"/>
      <c r="AD90" s="45"/>
      <c r="AE90" s="45"/>
      <c r="AF90" s="48"/>
      <c r="AG90" s="47"/>
      <c r="AH90" s="47"/>
      <c r="AI90" s="47"/>
      <c r="AJ90" s="47"/>
      <c r="AK90" s="124" t="n">
        <v>11</v>
      </c>
    </row>
    <row r="91" s="124" customFormat="true" ht="11.25" hidden="false" customHeight="true" outlineLevel="0" collapsed="false">
      <c r="A91" s="608"/>
      <c r="B91" s="608"/>
      <c r="C91" s="608"/>
      <c r="D91" s="608"/>
      <c r="E91" s="608"/>
      <c r="F91" s="49"/>
      <c r="G91" s="49"/>
      <c r="N91" s="45"/>
      <c r="P91" s="45"/>
      <c r="Q91" s="49"/>
      <c r="R91" s="49"/>
      <c r="S91" s="45"/>
      <c r="T91" s="45"/>
      <c r="U91" s="45"/>
      <c r="V91" s="45"/>
      <c r="W91" s="49"/>
      <c r="X91" s="45"/>
      <c r="Y91" s="45"/>
      <c r="Z91" s="609"/>
      <c r="AA91" s="45"/>
      <c r="AB91" s="45"/>
      <c r="AC91" s="45"/>
      <c r="AD91" s="45"/>
      <c r="AE91" s="45"/>
      <c r="AF91" s="48"/>
      <c r="AG91" s="47"/>
      <c r="AH91" s="47"/>
      <c r="AI91" s="47"/>
      <c r="AJ91" s="47"/>
      <c r="AK91" s="124" t="n">
        <v>11</v>
      </c>
    </row>
    <row r="92" s="124" customFormat="true" ht="11.25" hidden="false" customHeight="true" outlineLevel="0" collapsed="false">
      <c r="A92" s="608"/>
      <c r="B92" s="608"/>
      <c r="C92" s="608"/>
      <c r="D92" s="608"/>
      <c r="E92" s="608"/>
      <c r="F92" s="49"/>
      <c r="G92" s="49"/>
      <c r="N92" s="45"/>
      <c r="P92" s="45"/>
      <c r="Q92" s="49"/>
      <c r="R92" s="49"/>
      <c r="S92" s="45"/>
      <c r="T92" s="45"/>
      <c r="U92" s="45"/>
      <c r="V92" s="45"/>
      <c r="W92" s="49"/>
      <c r="X92" s="45"/>
      <c r="Y92" s="45"/>
      <c r="Z92" s="609"/>
      <c r="AA92" s="45"/>
      <c r="AB92" s="45"/>
      <c r="AC92" s="45"/>
      <c r="AD92" s="45"/>
      <c r="AE92" s="45"/>
      <c r="AF92" s="48"/>
      <c r="AG92" s="47"/>
      <c r="AH92" s="47"/>
      <c r="AI92" s="47"/>
      <c r="AJ92" s="47"/>
      <c r="AK92" s="124" t="n">
        <v>11</v>
      </c>
    </row>
    <row r="93" s="124" customFormat="true" ht="11.25" hidden="false" customHeight="true" outlineLevel="0" collapsed="false">
      <c r="A93" s="608"/>
      <c r="B93" s="608"/>
      <c r="C93" s="608"/>
      <c r="D93" s="608"/>
      <c r="E93" s="608"/>
      <c r="F93" s="49"/>
      <c r="G93" s="49"/>
      <c r="N93" s="45"/>
      <c r="P93" s="45"/>
      <c r="Q93" s="49"/>
      <c r="R93" s="49"/>
      <c r="S93" s="45"/>
      <c r="T93" s="45"/>
      <c r="U93" s="45"/>
      <c r="V93" s="45"/>
      <c r="W93" s="49"/>
      <c r="X93" s="45"/>
      <c r="Y93" s="45"/>
      <c r="Z93" s="609"/>
      <c r="AA93" s="45"/>
      <c r="AB93" s="45"/>
      <c r="AC93" s="45"/>
      <c r="AD93" s="45"/>
      <c r="AE93" s="45"/>
      <c r="AF93" s="48"/>
      <c r="AG93" s="47"/>
      <c r="AH93" s="47"/>
      <c r="AI93" s="47"/>
      <c r="AJ93" s="47"/>
      <c r="AK93" s="124" t="n">
        <v>11</v>
      </c>
    </row>
    <row r="94" s="124" customFormat="true" ht="11.25" hidden="false" customHeight="true" outlineLevel="0" collapsed="false">
      <c r="A94" s="608"/>
      <c r="B94" s="608"/>
      <c r="C94" s="608"/>
      <c r="D94" s="608"/>
      <c r="E94" s="608"/>
      <c r="F94" s="49"/>
      <c r="G94" s="49"/>
      <c r="N94" s="45"/>
      <c r="P94" s="45"/>
      <c r="Q94" s="49"/>
      <c r="R94" s="49"/>
      <c r="S94" s="45"/>
      <c r="T94" s="45"/>
      <c r="U94" s="45"/>
      <c r="V94" s="45"/>
      <c r="W94" s="49"/>
      <c r="X94" s="45"/>
      <c r="Y94" s="45"/>
      <c r="Z94" s="609"/>
      <c r="AA94" s="45"/>
      <c r="AB94" s="45"/>
      <c r="AC94" s="45"/>
      <c r="AD94" s="45"/>
      <c r="AE94" s="45"/>
      <c r="AF94" s="48"/>
      <c r="AG94" s="47"/>
      <c r="AH94" s="47"/>
      <c r="AI94" s="47"/>
      <c r="AJ94" s="47"/>
      <c r="AK94" s="124" t="n">
        <v>11</v>
      </c>
    </row>
    <row r="95" s="124" customFormat="true" ht="11.25" hidden="false" customHeight="true" outlineLevel="0" collapsed="false">
      <c r="A95" s="608"/>
      <c r="B95" s="608"/>
      <c r="C95" s="608"/>
      <c r="D95" s="608"/>
      <c r="E95" s="608"/>
      <c r="F95" s="49"/>
      <c r="G95" s="49"/>
      <c r="N95" s="45"/>
      <c r="P95" s="45"/>
      <c r="Q95" s="49"/>
      <c r="R95" s="49"/>
      <c r="S95" s="45"/>
      <c r="T95" s="45"/>
      <c r="U95" s="45"/>
      <c r="V95" s="45"/>
      <c r="W95" s="49"/>
      <c r="X95" s="45"/>
      <c r="Y95" s="45"/>
      <c r="Z95" s="609"/>
      <c r="AA95" s="45"/>
      <c r="AB95" s="45"/>
      <c r="AC95" s="45"/>
      <c r="AD95" s="45"/>
      <c r="AE95" s="45"/>
      <c r="AF95" s="48"/>
      <c r="AG95" s="47"/>
      <c r="AH95" s="47"/>
      <c r="AI95" s="47"/>
      <c r="AJ95" s="47"/>
      <c r="AK95" s="124" t="n">
        <v>11</v>
      </c>
    </row>
    <row r="96" s="124" customFormat="true" ht="11.25" hidden="false" customHeight="true" outlineLevel="0" collapsed="false">
      <c r="A96" s="608"/>
      <c r="B96" s="608"/>
      <c r="C96" s="608"/>
      <c r="D96" s="608"/>
      <c r="E96" s="608"/>
      <c r="F96" s="49"/>
      <c r="G96" s="49"/>
      <c r="N96" s="45"/>
      <c r="P96" s="45"/>
      <c r="Q96" s="49"/>
      <c r="R96" s="49"/>
      <c r="S96" s="45"/>
      <c r="T96" s="45"/>
      <c r="U96" s="45"/>
      <c r="V96" s="45"/>
      <c r="W96" s="49"/>
      <c r="X96" s="45"/>
      <c r="Y96" s="45"/>
      <c r="Z96" s="609"/>
      <c r="AA96" s="45"/>
      <c r="AB96" s="45"/>
      <c r="AC96" s="45"/>
      <c r="AD96" s="45"/>
      <c r="AE96" s="45"/>
      <c r="AF96" s="48"/>
      <c r="AG96" s="47"/>
      <c r="AH96" s="47"/>
      <c r="AI96" s="47"/>
      <c r="AJ96" s="47"/>
      <c r="AK96" s="124" t="n">
        <v>11</v>
      </c>
    </row>
    <row r="97" s="124" customFormat="true" ht="11.25" hidden="false" customHeight="true" outlineLevel="0" collapsed="false">
      <c r="A97" s="608"/>
      <c r="B97" s="608"/>
      <c r="C97" s="608"/>
      <c r="D97" s="608"/>
      <c r="E97" s="608"/>
      <c r="F97" s="49"/>
      <c r="G97" s="49"/>
      <c r="N97" s="45"/>
      <c r="P97" s="45"/>
      <c r="Q97" s="49"/>
      <c r="R97" s="49"/>
      <c r="S97" s="45"/>
      <c r="T97" s="45"/>
      <c r="U97" s="45"/>
      <c r="V97" s="45"/>
      <c r="W97" s="49"/>
      <c r="X97" s="45"/>
      <c r="Y97" s="45"/>
      <c r="Z97" s="609"/>
      <c r="AA97" s="45"/>
      <c r="AB97" s="45"/>
      <c r="AC97" s="45"/>
      <c r="AD97" s="45"/>
      <c r="AE97" s="45"/>
      <c r="AF97" s="48"/>
      <c r="AG97" s="47"/>
      <c r="AH97" s="47"/>
      <c r="AI97" s="47"/>
      <c r="AJ97" s="47"/>
      <c r="AK97" s="124" t="n">
        <v>11</v>
      </c>
    </row>
    <row r="98" s="124" customFormat="true" ht="11.25" hidden="false" customHeight="true" outlineLevel="0" collapsed="false">
      <c r="A98" s="608"/>
      <c r="B98" s="608"/>
      <c r="C98" s="608"/>
      <c r="D98" s="608"/>
      <c r="E98" s="608"/>
      <c r="F98" s="49"/>
      <c r="G98" s="49"/>
      <c r="N98" s="45"/>
      <c r="P98" s="45"/>
      <c r="Q98" s="49"/>
      <c r="R98" s="49"/>
      <c r="S98" s="45"/>
      <c r="T98" s="45"/>
      <c r="U98" s="45"/>
      <c r="V98" s="45"/>
      <c r="W98" s="49"/>
      <c r="X98" s="45"/>
      <c r="Y98" s="45"/>
      <c r="Z98" s="609"/>
      <c r="AA98" s="45"/>
      <c r="AB98" s="45"/>
      <c r="AC98" s="45"/>
      <c r="AD98" s="45"/>
      <c r="AE98" s="45"/>
      <c r="AF98" s="48"/>
      <c r="AG98" s="47"/>
      <c r="AH98" s="47"/>
      <c r="AI98" s="47"/>
      <c r="AJ98" s="47"/>
      <c r="AK98" s="124" t="n">
        <v>11</v>
      </c>
    </row>
    <row r="99" s="124" customFormat="true" ht="11.25" hidden="false" customHeight="true" outlineLevel="0" collapsed="false">
      <c r="A99" s="608"/>
      <c r="B99" s="608"/>
      <c r="C99" s="608"/>
      <c r="D99" s="608"/>
      <c r="E99" s="608"/>
      <c r="F99" s="49"/>
      <c r="G99" s="49"/>
      <c r="N99" s="45"/>
      <c r="P99" s="45"/>
      <c r="Q99" s="49"/>
      <c r="R99" s="49"/>
      <c r="S99" s="45"/>
      <c r="T99" s="45"/>
      <c r="U99" s="45"/>
      <c r="V99" s="45"/>
      <c r="W99" s="49"/>
      <c r="X99" s="45"/>
      <c r="Y99" s="45"/>
      <c r="Z99" s="609"/>
      <c r="AA99" s="45"/>
      <c r="AB99" s="45"/>
      <c r="AC99" s="45"/>
      <c r="AD99" s="45"/>
      <c r="AE99" s="45"/>
      <c r="AF99" s="48"/>
      <c r="AG99" s="47"/>
      <c r="AH99" s="47"/>
      <c r="AI99" s="47"/>
      <c r="AJ99" s="47"/>
      <c r="AK99" s="124" t="n">
        <v>11</v>
      </c>
    </row>
    <row r="100" s="124" customFormat="true" ht="11.25" hidden="false" customHeight="true" outlineLevel="0" collapsed="false">
      <c r="A100" s="608"/>
      <c r="B100" s="608"/>
      <c r="C100" s="608"/>
      <c r="D100" s="608"/>
      <c r="E100" s="608"/>
      <c r="F100" s="49"/>
      <c r="G100" s="49"/>
      <c r="N100" s="45"/>
      <c r="P100" s="45"/>
      <c r="Q100" s="49"/>
      <c r="R100" s="49"/>
      <c r="S100" s="45"/>
      <c r="T100" s="45"/>
      <c r="U100" s="45"/>
      <c r="V100" s="45"/>
      <c r="W100" s="49"/>
      <c r="X100" s="45"/>
      <c r="Y100" s="45"/>
      <c r="Z100" s="609"/>
      <c r="AA100" s="45"/>
      <c r="AB100" s="45"/>
      <c r="AC100" s="45"/>
      <c r="AD100" s="45"/>
      <c r="AE100" s="45"/>
      <c r="AF100" s="48"/>
      <c r="AG100" s="47"/>
      <c r="AH100" s="47"/>
      <c r="AI100" s="47"/>
      <c r="AJ100" s="47"/>
      <c r="AK100" s="124" t="n">
        <v>11</v>
      </c>
    </row>
    <row r="101" s="124" customFormat="true" ht="11.25" hidden="false" customHeight="true" outlineLevel="0" collapsed="false">
      <c r="A101" s="608"/>
      <c r="B101" s="608"/>
      <c r="C101" s="608"/>
      <c r="D101" s="608"/>
      <c r="E101" s="608"/>
      <c r="F101" s="49"/>
      <c r="G101" s="49"/>
      <c r="N101" s="45"/>
      <c r="P101" s="45"/>
      <c r="Q101" s="49"/>
      <c r="R101" s="49"/>
      <c r="S101" s="45"/>
      <c r="T101" s="45"/>
      <c r="U101" s="45"/>
      <c r="V101" s="45"/>
      <c r="W101" s="49"/>
      <c r="X101" s="45"/>
      <c r="Y101" s="45"/>
      <c r="Z101" s="609"/>
      <c r="AA101" s="45"/>
      <c r="AB101" s="45"/>
      <c r="AC101" s="45"/>
      <c r="AD101" s="45"/>
      <c r="AE101" s="45"/>
      <c r="AF101" s="48"/>
      <c r="AG101" s="47"/>
      <c r="AH101" s="47"/>
      <c r="AI101" s="47"/>
      <c r="AJ101" s="47"/>
      <c r="AK101" s="124" t="n">
        <v>11</v>
      </c>
    </row>
    <row r="102" s="124" customFormat="true" ht="11.25" hidden="false" customHeight="true" outlineLevel="0" collapsed="false">
      <c r="A102" s="608"/>
      <c r="B102" s="608"/>
      <c r="C102" s="608"/>
      <c r="D102" s="608"/>
      <c r="E102" s="608"/>
      <c r="F102" s="49"/>
      <c r="G102" s="49"/>
      <c r="N102" s="45"/>
      <c r="P102" s="45"/>
      <c r="Q102" s="49"/>
      <c r="R102" s="49"/>
      <c r="S102" s="45"/>
      <c r="T102" s="45"/>
      <c r="U102" s="45"/>
      <c r="V102" s="45"/>
      <c r="W102" s="49"/>
      <c r="X102" s="45"/>
      <c r="Y102" s="45"/>
      <c r="Z102" s="609"/>
      <c r="AA102" s="45"/>
      <c r="AB102" s="45"/>
      <c r="AC102" s="45"/>
      <c r="AD102" s="45"/>
      <c r="AE102" s="45"/>
      <c r="AF102" s="48"/>
      <c r="AG102" s="47"/>
      <c r="AH102" s="47"/>
      <c r="AI102" s="47"/>
      <c r="AJ102" s="47"/>
      <c r="AK102" s="124" t="n">
        <v>11</v>
      </c>
    </row>
    <row r="103" s="124" customFormat="true" ht="11.25" hidden="false" customHeight="true" outlineLevel="0" collapsed="false">
      <c r="A103" s="608"/>
      <c r="B103" s="608"/>
      <c r="C103" s="608"/>
      <c r="D103" s="608"/>
      <c r="E103" s="608"/>
      <c r="F103" s="49"/>
      <c r="G103" s="49"/>
      <c r="N103" s="45"/>
      <c r="P103" s="45"/>
      <c r="Q103" s="49"/>
      <c r="R103" s="49"/>
      <c r="S103" s="45"/>
      <c r="T103" s="45"/>
      <c r="U103" s="45"/>
      <c r="V103" s="45"/>
      <c r="W103" s="49"/>
      <c r="X103" s="45"/>
      <c r="Y103" s="45"/>
      <c r="Z103" s="609"/>
      <c r="AA103" s="45"/>
      <c r="AB103" s="45"/>
      <c r="AC103" s="45"/>
      <c r="AD103" s="45"/>
      <c r="AE103" s="45"/>
      <c r="AF103" s="48"/>
      <c r="AG103" s="47"/>
      <c r="AH103" s="47"/>
      <c r="AI103" s="47"/>
      <c r="AJ103" s="47"/>
      <c r="AK103" s="124" t="n">
        <v>11</v>
      </c>
    </row>
    <row r="104" s="124" customFormat="true" ht="11.25" hidden="false" customHeight="true" outlineLevel="0" collapsed="false">
      <c r="A104" s="608"/>
      <c r="B104" s="608"/>
      <c r="C104" s="608"/>
      <c r="D104" s="608"/>
      <c r="E104" s="608"/>
      <c r="F104" s="49"/>
      <c r="G104" s="49"/>
      <c r="N104" s="45"/>
      <c r="P104" s="45"/>
      <c r="Q104" s="49"/>
      <c r="R104" s="49"/>
      <c r="S104" s="45"/>
      <c r="T104" s="45"/>
      <c r="U104" s="45"/>
      <c r="V104" s="45"/>
      <c r="W104" s="49"/>
      <c r="X104" s="45"/>
      <c r="Y104" s="45"/>
      <c r="Z104" s="609"/>
      <c r="AA104" s="45"/>
      <c r="AB104" s="45"/>
      <c r="AC104" s="45"/>
      <c r="AD104" s="45"/>
      <c r="AE104" s="45"/>
      <c r="AF104" s="48"/>
      <c r="AG104" s="47"/>
      <c r="AH104" s="47"/>
      <c r="AI104" s="47"/>
      <c r="AJ104" s="47"/>
      <c r="AK104" s="124" t="n">
        <v>11</v>
      </c>
    </row>
    <row r="105" s="124" customFormat="true" ht="11.25" hidden="false" customHeight="true" outlineLevel="0" collapsed="false">
      <c r="A105" s="608"/>
      <c r="B105" s="608"/>
      <c r="C105" s="608"/>
      <c r="D105" s="608"/>
      <c r="E105" s="608"/>
      <c r="F105" s="49"/>
      <c r="G105" s="49"/>
      <c r="N105" s="45"/>
      <c r="P105" s="45"/>
      <c r="Q105" s="49"/>
      <c r="R105" s="49"/>
      <c r="S105" s="45"/>
      <c r="T105" s="45"/>
      <c r="U105" s="45"/>
      <c r="V105" s="45"/>
      <c r="W105" s="49"/>
      <c r="X105" s="45"/>
      <c r="Y105" s="45"/>
      <c r="Z105" s="609"/>
      <c r="AA105" s="45"/>
      <c r="AB105" s="45"/>
      <c r="AC105" s="45"/>
      <c r="AD105" s="45"/>
      <c r="AE105" s="45"/>
      <c r="AF105" s="48"/>
      <c r="AG105" s="47"/>
      <c r="AH105" s="47"/>
      <c r="AI105" s="47"/>
      <c r="AJ105" s="47"/>
      <c r="AK105" s="124" t="n">
        <v>11</v>
      </c>
    </row>
    <row r="106" s="124" customFormat="true" ht="11.25" hidden="false" customHeight="true" outlineLevel="0" collapsed="false">
      <c r="A106" s="608"/>
      <c r="B106" s="608"/>
      <c r="C106" s="608"/>
      <c r="D106" s="608"/>
      <c r="E106" s="608"/>
      <c r="F106" s="49"/>
      <c r="G106" s="49"/>
      <c r="N106" s="45"/>
      <c r="P106" s="45"/>
      <c r="Q106" s="49"/>
      <c r="R106" s="49"/>
      <c r="S106" s="45"/>
      <c r="T106" s="45"/>
      <c r="U106" s="45"/>
      <c r="V106" s="45"/>
      <c r="W106" s="49"/>
      <c r="X106" s="45"/>
      <c r="Y106" s="45"/>
      <c r="Z106" s="609"/>
      <c r="AA106" s="45"/>
      <c r="AB106" s="45"/>
      <c r="AC106" s="45"/>
      <c r="AD106" s="45"/>
      <c r="AE106" s="45"/>
      <c r="AF106" s="48"/>
      <c r="AG106" s="47"/>
      <c r="AH106" s="47"/>
      <c r="AI106" s="47"/>
      <c r="AJ106" s="47"/>
      <c r="AK106" s="124" t="n">
        <v>11</v>
      </c>
    </row>
    <row r="107" s="124" customFormat="true" ht="11.25" hidden="false" customHeight="true" outlineLevel="0" collapsed="false">
      <c r="A107" s="608"/>
      <c r="B107" s="608"/>
      <c r="C107" s="608"/>
      <c r="D107" s="608"/>
      <c r="E107" s="608"/>
      <c r="F107" s="49"/>
      <c r="G107" s="49"/>
      <c r="N107" s="45"/>
      <c r="P107" s="45"/>
      <c r="Q107" s="49"/>
      <c r="R107" s="49"/>
      <c r="S107" s="45"/>
      <c r="T107" s="45"/>
      <c r="U107" s="45"/>
      <c r="V107" s="45"/>
      <c r="W107" s="49"/>
      <c r="X107" s="45"/>
      <c r="Y107" s="45"/>
      <c r="Z107" s="609"/>
      <c r="AA107" s="45"/>
      <c r="AB107" s="45"/>
      <c r="AC107" s="45"/>
      <c r="AD107" s="45"/>
      <c r="AE107" s="45"/>
      <c r="AF107" s="48"/>
      <c r="AG107" s="47"/>
      <c r="AH107" s="47"/>
      <c r="AI107" s="47"/>
      <c r="AJ107" s="47"/>
      <c r="AK107" s="124" t="n">
        <v>11</v>
      </c>
    </row>
    <row r="108" s="124" customFormat="true" ht="11.25" hidden="false" customHeight="true" outlineLevel="0" collapsed="false">
      <c r="A108" s="608"/>
      <c r="B108" s="608"/>
      <c r="C108" s="608"/>
      <c r="D108" s="608"/>
      <c r="E108" s="608"/>
      <c r="F108" s="49"/>
      <c r="G108" s="49"/>
      <c r="N108" s="45"/>
      <c r="P108" s="45"/>
      <c r="Q108" s="49"/>
      <c r="R108" s="49"/>
      <c r="S108" s="45"/>
      <c r="T108" s="45"/>
      <c r="U108" s="45"/>
      <c r="V108" s="45"/>
      <c r="W108" s="49"/>
      <c r="X108" s="45"/>
      <c r="Y108" s="45"/>
      <c r="Z108" s="609"/>
      <c r="AA108" s="45"/>
      <c r="AB108" s="45"/>
      <c r="AC108" s="45"/>
      <c r="AD108" s="45"/>
      <c r="AE108" s="45"/>
      <c r="AF108" s="48"/>
      <c r="AG108" s="47"/>
      <c r="AH108" s="47"/>
      <c r="AI108" s="47"/>
      <c r="AJ108" s="47"/>
      <c r="AK108" s="124" t="n">
        <v>11</v>
      </c>
    </row>
    <row r="109" s="124" customFormat="true" ht="11.25" hidden="false" customHeight="true" outlineLevel="0" collapsed="false">
      <c r="A109" s="608"/>
      <c r="B109" s="608"/>
      <c r="C109" s="608"/>
      <c r="D109" s="608"/>
      <c r="E109" s="608"/>
      <c r="F109" s="49"/>
      <c r="G109" s="49"/>
      <c r="N109" s="45"/>
      <c r="P109" s="45"/>
      <c r="Q109" s="49"/>
      <c r="R109" s="49"/>
      <c r="S109" s="45"/>
      <c r="T109" s="45"/>
      <c r="U109" s="45"/>
      <c r="V109" s="45"/>
      <c r="W109" s="49"/>
      <c r="X109" s="45"/>
      <c r="Y109" s="45"/>
      <c r="Z109" s="609"/>
      <c r="AA109" s="45"/>
      <c r="AB109" s="45"/>
      <c r="AC109" s="45"/>
      <c r="AD109" s="45"/>
      <c r="AE109" s="45"/>
      <c r="AF109" s="48"/>
      <c r="AG109" s="47"/>
      <c r="AH109" s="47"/>
      <c r="AI109" s="47"/>
      <c r="AJ109" s="47"/>
      <c r="AK109" s="124" t="n">
        <v>11</v>
      </c>
    </row>
    <row r="110" s="124" customFormat="true" ht="11.25" hidden="false" customHeight="true" outlineLevel="0" collapsed="false">
      <c r="A110" s="608"/>
      <c r="B110" s="608"/>
      <c r="C110" s="608"/>
      <c r="D110" s="608"/>
      <c r="E110" s="608"/>
      <c r="F110" s="49"/>
      <c r="G110" s="49"/>
      <c r="N110" s="45"/>
      <c r="P110" s="45"/>
      <c r="Q110" s="49"/>
      <c r="R110" s="49"/>
      <c r="S110" s="45"/>
      <c r="T110" s="45"/>
      <c r="U110" s="45"/>
      <c r="V110" s="45"/>
      <c r="W110" s="49"/>
      <c r="X110" s="45"/>
      <c r="Y110" s="45"/>
      <c r="Z110" s="609"/>
      <c r="AA110" s="45"/>
      <c r="AB110" s="45"/>
      <c r="AC110" s="45"/>
      <c r="AD110" s="45"/>
      <c r="AE110" s="45"/>
      <c r="AF110" s="48"/>
      <c r="AG110" s="47"/>
      <c r="AH110" s="47"/>
      <c r="AI110" s="47"/>
      <c r="AJ110" s="47"/>
      <c r="AK110" s="124" t="n">
        <v>11</v>
      </c>
    </row>
    <row r="111" s="124" customFormat="true" ht="11.25" hidden="false" customHeight="true" outlineLevel="0" collapsed="false">
      <c r="A111" s="608"/>
      <c r="B111" s="608"/>
      <c r="C111" s="608"/>
      <c r="D111" s="608"/>
      <c r="E111" s="608"/>
      <c r="F111" s="49"/>
      <c r="G111" s="49"/>
      <c r="N111" s="45"/>
      <c r="P111" s="45"/>
      <c r="Q111" s="49"/>
      <c r="R111" s="49"/>
      <c r="S111" s="45"/>
      <c r="T111" s="45"/>
      <c r="U111" s="45"/>
      <c r="V111" s="45"/>
      <c r="W111" s="49"/>
      <c r="X111" s="45"/>
      <c r="Y111" s="45"/>
      <c r="Z111" s="609"/>
      <c r="AA111" s="45"/>
      <c r="AB111" s="45"/>
      <c r="AC111" s="45"/>
      <c r="AD111" s="45"/>
      <c r="AE111" s="45"/>
      <c r="AF111" s="48"/>
      <c r="AG111" s="47"/>
      <c r="AH111" s="47"/>
      <c r="AI111" s="47"/>
      <c r="AJ111" s="47"/>
      <c r="AK111" s="124" t="n">
        <v>11</v>
      </c>
    </row>
    <row r="112" s="124" customFormat="true" ht="11.25" hidden="false" customHeight="true" outlineLevel="0" collapsed="false">
      <c r="A112" s="608"/>
      <c r="B112" s="608"/>
      <c r="C112" s="608"/>
      <c r="D112" s="608"/>
      <c r="E112" s="608"/>
      <c r="F112" s="49"/>
      <c r="G112" s="49"/>
      <c r="N112" s="45"/>
      <c r="P112" s="45"/>
      <c r="Q112" s="49"/>
      <c r="R112" s="49"/>
      <c r="S112" s="45"/>
      <c r="T112" s="45"/>
      <c r="U112" s="45"/>
      <c r="V112" s="45"/>
      <c r="W112" s="49"/>
      <c r="X112" s="45"/>
      <c r="Y112" s="45"/>
      <c r="Z112" s="609"/>
      <c r="AA112" s="45"/>
      <c r="AB112" s="45"/>
      <c r="AC112" s="45"/>
      <c r="AD112" s="45"/>
      <c r="AE112" s="45"/>
      <c r="AF112" s="48"/>
      <c r="AG112" s="47"/>
      <c r="AH112" s="47"/>
      <c r="AI112" s="47"/>
      <c r="AJ112" s="47"/>
      <c r="AK112" s="124" t="n">
        <v>11</v>
      </c>
    </row>
    <row r="113" s="124" customFormat="true" ht="11.25" hidden="false" customHeight="true" outlineLevel="0" collapsed="false">
      <c r="A113" s="608"/>
      <c r="B113" s="608"/>
      <c r="C113" s="608"/>
      <c r="D113" s="608"/>
      <c r="E113" s="608"/>
      <c r="F113" s="49"/>
      <c r="G113" s="49"/>
      <c r="N113" s="45"/>
      <c r="P113" s="45"/>
      <c r="Q113" s="49"/>
      <c r="R113" s="49"/>
      <c r="S113" s="45"/>
      <c r="T113" s="45"/>
      <c r="U113" s="45"/>
      <c r="V113" s="45"/>
      <c r="W113" s="49"/>
      <c r="X113" s="45"/>
      <c r="Y113" s="45"/>
      <c r="Z113" s="609"/>
      <c r="AA113" s="45"/>
      <c r="AB113" s="45"/>
      <c r="AC113" s="45"/>
      <c r="AD113" s="45"/>
      <c r="AE113" s="45"/>
      <c r="AF113" s="48"/>
      <c r="AG113" s="47"/>
      <c r="AH113" s="47"/>
      <c r="AI113" s="47"/>
      <c r="AJ113" s="47"/>
      <c r="AK113" s="124" t="n">
        <v>11</v>
      </c>
    </row>
    <row r="114" s="124" customFormat="true" ht="11.25" hidden="false" customHeight="true" outlineLevel="0" collapsed="false">
      <c r="A114" s="608"/>
      <c r="B114" s="608"/>
      <c r="C114" s="608"/>
      <c r="D114" s="608"/>
      <c r="E114" s="608"/>
      <c r="F114" s="49"/>
      <c r="G114" s="49"/>
      <c r="N114" s="45"/>
      <c r="P114" s="45"/>
      <c r="Q114" s="49"/>
      <c r="R114" s="49"/>
      <c r="S114" s="45"/>
      <c r="T114" s="45"/>
      <c r="U114" s="45"/>
      <c r="V114" s="45"/>
      <c r="W114" s="49"/>
      <c r="X114" s="45"/>
      <c r="Y114" s="45"/>
      <c r="Z114" s="609"/>
      <c r="AA114" s="45"/>
      <c r="AB114" s="45"/>
      <c r="AC114" s="45"/>
      <c r="AD114" s="45"/>
      <c r="AE114" s="45"/>
      <c r="AF114" s="48"/>
      <c r="AG114" s="47"/>
      <c r="AH114" s="47"/>
      <c r="AI114" s="47"/>
      <c r="AJ114" s="47"/>
      <c r="AK114" s="124" t="n">
        <v>11</v>
      </c>
    </row>
    <row r="115" s="124" customFormat="true" ht="11.25" hidden="false" customHeight="true" outlineLevel="0" collapsed="false">
      <c r="A115" s="608"/>
      <c r="B115" s="608"/>
      <c r="C115" s="608"/>
      <c r="D115" s="608"/>
      <c r="E115" s="608"/>
      <c r="F115" s="49"/>
      <c r="G115" s="49"/>
      <c r="N115" s="45"/>
      <c r="P115" s="45"/>
      <c r="Q115" s="49"/>
      <c r="R115" s="49"/>
      <c r="S115" s="45"/>
      <c r="T115" s="45"/>
      <c r="U115" s="45"/>
      <c r="V115" s="45"/>
      <c r="W115" s="49"/>
      <c r="X115" s="45"/>
      <c r="Y115" s="45"/>
      <c r="Z115" s="609"/>
      <c r="AA115" s="45"/>
      <c r="AB115" s="45"/>
      <c r="AC115" s="45"/>
      <c r="AD115" s="45"/>
      <c r="AE115" s="45"/>
      <c r="AF115" s="48"/>
      <c r="AG115" s="47"/>
      <c r="AH115" s="47"/>
      <c r="AI115" s="47"/>
      <c r="AJ115" s="47"/>
      <c r="AK115" s="124" t="n">
        <v>11</v>
      </c>
    </row>
    <row r="116" s="124" customFormat="true" ht="11.25" hidden="false" customHeight="true" outlineLevel="0" collapsed="false">
      <c r="A116" s="608"/>
      <c r="B116" s="608"/>
      <c r="C116" s="608"/>
      <c r="D116" s="608"/>
      <c r="E116" s="608"/>
      <c r="F116" s="49"/>
      <c r="G116" s="49"/>
      <c r="N116" s="45"/>
      <c r="P116" s="45"/>
      <c r="Q116" s="49"/>
      <c r="R116" s="49"/>
      <c r="S116" s="45"/>
      <c r="T116" s="45"/>
      <c r="U116" s="45"/>
      <c r="V116" s="45"/>
      <c r="W116" s="49"/>
      <c r="X116" s="45"/>
      <c r="Y116" s="45"/>
      <c r="Z116" s="609"/>
      <c r="AA116" s="45"/>
      <c r="AB116" s="45"/>
      <c r="AC116" s="45"/>
      <c r="AD116" s="45"/>
      <c r="AE116" s="45"/>
      <c r="AF116" s="48"/>
      <c r="AG116" s="47"/>
      <c r="AH116" s="47"/>
      <c r="AI116" s="47"/>
      <c r="AJ116" s="47"/>
      <c r="AK116" s="124" t="n">
        <v>11</v>
      </c>
    </row>
    <row r="117" s="124" customFormat="true" ht="11.25" hidden="false" customHeight="true" outlineLevel="0" collapsed="false">
      <c r="A117" s="608"/>
      <c r="B117" s="608"/>
      <c r="C117" s="608"/>
      <c r="D117" s="608"/>
      <c r="E117" s="608"/>
      <c r="F117" s="49"/>
      <c r="G117" s="49"/>
      <c r="N117" s="45"/>
      <c r="P117" s="45"/>
      <c r="Q117" s="49"/>
      <c r="R117" s="49"/>
      <c r="S117" s="45"/>
      <c r="T117" s="45"/>
      <c r="U117" s="45"/>
      <c r="V117" s="45"/>
      <c r="W117" s="49"/>
      <c r="X117" s="45"/>
      <c r="Y117" s="45"/>
      <c r="Z117" s="609"/>
      <c r="AA117" s="45"/>
      <c r="AB117" s="45"/>
      <c r="AC117" s="45"/>
      <c r="AD117" s="45"/>
      <c r="AE117" s="45"/>
      <c r="AF117" s="48"/>
      <c r="AG117" s="47"/>
      <c r="AH117" s="47"/>
      <c r="AI117" s="47"/>
      <c r="AJ117" s="47"/>
      <c r="AK117" s="124" t="n">
        <v>11</v>
      </c>
    </row>
    <row r="118" s="124" customFormat="true" ht="11.25" hidden="false" customHeight="true" outlineLevel="0" collapsed="false">
      <c r="A118" s="608"/>
      <c r="B118" s="608"/>
      <c r="C118" s="608"/>
      <c r="D118" s="608"/>
      <c r="E118" s="608"/>
      <c r="F118" s="49"/>
      <c r="G118" s="49"/>
      <c r="N118" s="45"/>
      <c r="P118" s="45"/>
      <c r="Q118" s="49"/>
      <c r="R118" s="49"/>
      <c r="S118" s="45"/>
      <c r="T118" s="45"/>
      <c r="U118" s="45"/>
      <c r="V118" s="45"/>
      <c r="W118" s="49"/>
      <c r="X118" s="45"/>
      <c r="Y118" s="45"/>
      <c r="Z118" s="609"/>
      <c r="AA118" s="45"/>
      <c r="AB118" s="45"/>
      <c r="AC118" s="45"/>
      <c r="AD118" s="45"/>
      <c r="AE118" s="45"/>
      <c r="AF118" s="48"/>
      <c r="AG118" s="47"/>
      <c r="AH118" s="47"/>
      <c r="AI118" s="47"/>
      <c r="AJ118" s="47"/>
      <c r="AK118" s="124" t="n">
        <v>11</v>
      </c>
    </row>
    <row r="119" s="124" customFormat="true" ht="11.25" hidden="false" customHeight="true" outlineLevel="0" collapsed="false">
      <c r="A119" s="608"/>
      <c r="B119" s="608"/>
      <c r="C119" s="608"/>
      <c r="D119" s="608"/>
      <c r="E119" s="608"/>
      <c r="F119" s="49"/>
      <c r="G119" s="49"/>
      <c r="N119" s="45"/>
      <c r="P119" s="45"/>
      <c r="Q119" s="49"/>
      <c r="R119" s="49"/>
      <c r="S119" s="45"/>
      <c r="T119" s="45"/>
      <c r="U119" s="45"/>
      <c r="V119" s="45"/>
      <c r="W119" s="49"/>
      <c r="X119" s="45"/>
      <c r="Y119" s="45"/>
      <c r="Z119" s="609"/>
      <c r="AA119" s="45"/>
      <c r="AB119" s="45"/>
      <c r="AC119" s="45"/>
      <c r="AD119" s="45"/>
      <c r="AE119" s="45"/>
      <c r="AF119" s="48"/>
      <c r="AG119" s="47"/>
      <c r="AH119" s="47"/>
      <c r="AI119" s="47"/>
      <c r="AJ119" s="47"/>
      <c r="AK119" s="124" t="n">
        <v>11</v>
      </c>
    </row>
    <row r="120" s="124" customFormat="true" ht="11.25" hidden="false" customHeight="true" outlineLevel="0" collapsed="false">
      <c r="A120" s="608"/>
      <c r="B120" s="608"/>
      <c r="C120" s="608"/>
      <c r="D120" s="608"/>
      <c r="E120" s="608"/>
      <c r="F120" s="49"/>
      <c r="G120" s="49"/>
      <c r="N120" s="45"/>
      <c r="P120" s="45"/>
      <c r="Q120" s="49"/>
      <c r="R120" s="49"/>
      <c r="S120" s="45"/>
      <c r="T120" s="45"/>
      <c r="U120" s="45"/>
      <c r="V120" s="45"/>
      <c r="W120" s="49"/>
      <c r="X120" s="45"/>
      <c r="Y120" s="45"/>
      <c r="Z120" s="609"/>
      <c r="AA120" s="45"/>
      <c r="AB120" s="45"/>
      <c r="AC120" s="45"/>
      <c r="AD120" s="45"/>
      <c r="AE120" s="45"/>
      <c r="AF120" s="48"/>
      <c r="AG120" s="47"/>
      <c r="AH120" s="47"/>
      <c r="AI120" s="47"/>
      <c r="AJ120" s="47"/>
      <c r="AK120" s="124" t="n">
        <v>11</v>
      </c>
    </row>
    <row r="121" s="124" customFormat="true" ht="11.25" hidden="false" customHeight="true" outlineLevel="0" collapsed="false">
      <c r="A121" s="608"/>
      <c r="B121" s="608"/>
      <c r="C121" s="608"/>
      <c r="D121" s="608"/>
      <c r="E121" s="608"/>
      <c r="F121" s="49"/>
      <c r="G121" s="49"/>
      <c r="N121" s="45"/>
      <c r="P121" s="45"/>
      <c r="Q121" s="49"/>
      <c r="R121" s="49"/>
      <c r="S121" s="45"/>
      <c r="T121" s="45"/>
      <c r="U121" s="45"/>
      <c r="V121" s="45"/>
      <c r="W121" s="49"/>
      <c r="X121" s="45"/>
      <c r="Y121" s="45"/>
      <c r="Z121" s="609"/>
      <c r="AA121" s="45"/>
      <c r="AB121" s="45"/>
      <c r="AC121" s="45"/>
      <c r="AD121" s="45"/>
      <c r="AE121" s="45"/>
      <c r="AF121" s="48"/>
      <c r="AG121" s="47"/>
      <c r="AH121" s="47"/>
      <c r="AI121" s="47"/>
      <c r="AJ121" s="47"/>
      <c r="AK121" s="124" t="n">
        <v>11</v>
      </c>
    </row>
    <row r="122" s="124" customFormat="true" ht="11.25" hidden="false" customHeight="true" outlineLevel="0" collapsed="false">
      <c r="A122" s="608"/>
      <c r="B122" s="608"/>
      <c r="C122" s="608"/>
      <c r="D122" s="608"/>
      <c r="E122" s="608"/>
      <c r="F122" s="49"/>
      <c r="G122" s="49"/>
      <c r="N122" s="45"/>
      <c r="P122" s="45"/>
      <c r="Q122" s="49"/>
      <c r="R122" s="49"/>
      <c r="S122" s="45"/>
      <c r="T122" s="45"/>
      <c r="U122" s="45"/>
      <c r="V122" s="45"/>
      <c r="W122" s="49"/>
      <c r="X122" s="45"/>
      <c r="Y122" s="45"/>
      <c r="Z122" s="609"/>
      <c r="AA122" s="45"/>
      <c r="AB122" s="45"/>
      <c r="AC122" s="45"/>
      <c r="AD122" s="45"/>
      <c r="AE122" s="45"/>
      <c r="AF122" s="48"/>
      <c r="AG122" s="47"/>
      <c r="AH122" s="47"/>
      <c r="AI122" s="47"/>
      <c r="AJ122" s="47"/>
      <c r="AK122" s="124" t="n">
        <v>11</v>
      </c>
    </row>
    <row r="123" s="124" customFormat="true" ht="11.25" hidden="false" customHeight="true" outlineLevel="0" collapsed="false">
      <c r="A123" s="608"/>
      <c r="B123" s="608"/>
      <c r="C123" s="608"/>
      <c r="D123" s="608"/>
      <c r="E123" s="608"/>
      <c r="F123" s="49"/>
      <c r="G123" s="49"/>
      <c r="N123" s="45"/>
      <c r="P123" s="45"/>
      <c r="Q123" s="49"/>
      <c r="R123" s="49"/>
      <c r="S123" s="45"/>
      <c r="T123" s="45"/>
      <c r="U123" s="45"/>
      <c r="V123" s="45"/>
      <c r="W123" s="49"/>
      <c r="X123" s="45"/>
      <c r="Y123" s="45"/>
      <c r="Z123" s="609"/>
      <c r="AA123" s="45"/>
      <c r="AB123" s="45"/>
      <c r="AC123" s="45"/>
      <c r="AD123" s="45"/>
      <c r="AE123" s="45"/>
      <c r="AF123" s="48"/>
      <c r="AG123" s="47"/>
      <c r="AH123" s="47"/>
      <c r="AI123" s="47"/>
      <c r="AJ123" s="47"/>
      <c r="AK123" s="124" t="n">
        <v>11</v>
      </c>
    </row>
    <row r="124" s="124" customFormat="true" ht="11.25" hidden="false" customHeight="true" outlineLevel="0" collapsed="false">
      <c r="A124" s="608"/>
      <c r="B124" s="608"/>
      <c r="C124" s="608"/>
      <c r="D124" s="608"/>
      <c r="E124" s="608"/>
      <c r="F124" s="49"/>
      <c r="G124" s="49"/>
      <c r="N124" s="45"/>
      <c r="P124" s="45"/>
      <c r="Q124" s="49"/>
      <c r="R124" s="49"/>
      <c r="S124" s="45"/>
      <c r="T124" s="45"/>
      <c r="U124" s="45"/>
      <c r="V124" s="45"/>
      <c r="W124" s="49"/>
      <c r="X124" s="45"/>
      <c r="Y124" s="45"/>
      <c r="Z124" s="609"/>
      <c r="AA124" s="45"/>
      <c r="AB124" s="45"/>
      <c r="AC124" s="45"/>
      <c r="AD124" s="45"/>
      <c r="AE124" s="45"/>
      <c r="AF124" s="48"/>
      <c r="AG124" s="47"/>
      <c r="AH124" s="47"/>
      <c r="AI124" s="47"/>
      <c r="AJ124" s="47"/>
      <c r="AK124" s="124" t="n">
        <v>11</v>
      </c>
    </row>
    <row r="125" s="124" customFormat="true" ht="11.25" hidden="false" customHeight="true" outlineLevel="0" collapsed="false">
      <c r="A125" s="608"/>
      <c r="B125" s="608"/>
      <c r="C125" s="608"/>
      <c r="D125" s="608"/>
      <c r="E125" s="608"/>
      <c r="F125" s="49"/>
      <c r="G125" s="49"/>
      <c r="N125" s="45"/>
      <c r="P125" s="45"/>
      <c r="Q125" s="49"/>
      <c r="R125" s="49"/>
      <c r="S125" s="45"/>
      <c r="T125" s="45"/>
      <c r="U125" s="45"/>
      <c r="V125" s="45"/>
      <c r="W125" s="49"/>
      <c r="X125" s="45"/>
      <c r="Y125" s="45"/>
      <c r="Z125" s="609"/>
      <c r="AA125" s="45"/>
      <c r="AB125" s="45"/>
      <c r="AC125" s="45"/>
      <c r="AD125" s="45"/>
      <c r="AE125" s="45"/>
      <c r="AF125" s="48"/>
      <c r="AG125" s="47"/>
      <c r="AH125" s="47"/>
      <c r="AI125" s="47"/>
      <c r="AJ125" s="47"/>
      <c r="AK125" s="124" t="n">
        <v>11</v>
      </c>
    </row>
    <row r="126" s="124" customFormat="true" ht="11.25" hidden="false" customHeight="true" outlineLevel="0" collapsed="false">
      <c r="A126" s="608"/>
      <c r="B126" s="608"/>
      <c r="C126" s="608"/>
      <c r="D126" s="608"/>
      <c r="E126" s="608"/>
      <c r="F126" s="49"/>
      <c r="G126" s="49"/>
      <c r="N126" s="45"/>
      <c r="P126" s="45"/>
      <c r="Q126" s="49"/>
      <c r="R126" s="49"/>
      <c r="S126" s="45"/>
      <c r="T126" s="45"/>
      <c r="U126" s="45"/>
      <c r="V126" s="45"/>
      <c r="W126" s="49"/>
      <c r="X126" s="45"/>
      <c r="Y126" s="45"/>
      <c r="Z126" s="609"/>
      <c r="AA126" s="45"/>
      <c r="AB126" s="45"/>
      <c r="AC126" s="45"/>
      <c r="AD126" s="45"/>
      <c r="AE126" s="45"/>
      <c r="AF126" s="48"/>
      <c r="AG126" s="47"/>
      <c r="AH126" s="47"/>
      <c r="AI126" s="47"/>
      <c r="AJ126" s="47"/>
      <c r="AK126" s="124" t="n">
        <v>11</v>
      </c>
    </row>
    <row r="127" s="124" customFormat="true" ht="11.25" hidden="false" customHeight="true" outlineLevel="0" collapsed="false">
      <c r="A127" s="608"/>
      <c r="B127" s="608"/>
      <c r="C127" s="608"/>
      <c r="D127" s="608"/>
      <c r="E127" s="608"/>
      <c r="F127" s="49"/>
      <c r="G127" s="49"/>
      <c r="N127" s="45"/>
      <c r="P127" s="45"/>
      <c r="Q127" s="49"/>
      <c r="R127" s="49"/>
      <c r="S127" s="45"/>
      <c r="T127" s="45"/>
      <c r="U127" s="45"/>
      <c r="V127" s="45"/>
      <c r="W127" s="49"/>
      <c r="X127" s="45"/>
      <c r="Y127" s="45"/>
      <c r="Z127" s="609"/>
      <c r="AA127" s="45"/>
      <c r="AB127" s="45"/>
      <c r="AC127" s="45"/>
      <c r="AD127" s="45"/>
      <c r="AE127" s="45"/>
      <c r="AF127" s="48"/>
      <c r="AG127" s="47"/>
      <c r="AH127" s="47"/>
      <c r="AI127" s="47"/>
      <c r="AJ127" s="47"/>
      <c r="AK127" s="124" t="n">
        <v>11</v>
      </c>
    </row>
    <row r="128" s="124" customFormat="true" ht="11.25" hidden="false" customHeight="true" outlineLevel="0" collapsed="false">
      <c r="A128" s="608"/>
      <c r="B128" s="608"/>
      <c r="C128" s="608"/>
      <c r="D128" s="608"/>
      <c r="E128" s="608"/>
      <c r="F128" s="49"/>
      <c r="G128" s="49"/>
      <c r="N128" s="45"/>
      <c r="P128" s="45"/>
      <c r="Q128" s="49"/>
      <c r="R128" s="49"/>
      <c r="S128" s="45"/>
      <c r="T128" s="45"/>
      <c r="U128" s="45"/>
      <c r="V128" s="45"/>
      <c r="W128" s="49"/>
      <c r="X128" s="45"/>
      <c r="Y128" s="45"/>
      <c r="Z128" s="609"/>
      <c r="AA128" s="45"/>
      <c r="AB128" s="45"/>
      <c r="AC128" s="45"/>
      <c r="AD128" s="45"/>
      <c r="AE128" s="45"/>
      <c r="AF128" s="48"/>
      <c r="AG128" s="47"/>
      <c r="AH128" s="47"/>
      <c r="AI128" s="47"/>
      <c r="AJ128" s="47"/>
      <c r="AK128" s="124" t="n">
        <v>11</v>
      </c>
    </row>
    <row r="129" s="124" customFormat="true" ht="11.25" hidden="false" customHeight="true" outlineLevel="0" collapsed="false">
      <c r="A129" s="608"/>
      <c r="B129" s="608"/>
      <c r="C129" s="608"/>
      <c r="D129" s="608"/>
      <c r="E129" s="608"/>
      <c r="F129" s="49"/>
      <c r="G129" s="49"/>
      <c r="N129" s="45"/>
      <c r="P129" s="45"/>
      <c r="Q129" s="49"/>
      <c r="R129" s="49"/>
      <c r="S129" s="45"/>
      <c r="T129" s="45"/>
      <c r="U129" s="45"/>
      <c r="V129" s="45"/>
      <c r="W129" s="49"/>
      <c r="X129" s="45"/>
      <c r="Y129" s="45"/>
      <c r="Z129" s="609"/>
      <c r="AA129" s="45"/>
      <c r="AB129" s="45"/>
      <c r="AC129" s="45"/>
      <c r="AD129" s="45"/>
      <c r="AE129" s="45"/>
      <c r="AF129" s="48"/>
      <c r="AG129" s="47"/>
      <c r="AH129" s="47"/>
      <c r="AI129" s="47"/>
      <c r="AJ129" s="47"/>
      <c r="AK129" s="124" t="n">
        <v>11</v>
      </c>
    </row>
    <row r="130" s="124" customFormat="true" ht="11.25" hidden="false" customHeight="true" outlineLevel="0" collapsed="false">
      <c r="A130" s="608"/>
      <c r="B130" s="608"/>
      <c r="C130" s="608"/>
      <c r="D130" s="608"/>
      <c r="E130" s="608"/>
      <c r="F130" s="49"/>
      <c r="G130" s="49"/>
      <c r="N130" s="45"/>
      <c r="P130" s="45"/>
      <c r="Q130" s="49"/>
      <c r="R130" s="49"/>
      <c r="S130" s="45"/>
      <c r="T130" s="45"/>
      <c r="U130" s="45"/>
      <c r="V130" s="45"/>
      <c r="W130" s="49"/>
      <c r="X130" s="45"/>
      <c r="Y130" s="45"/>
      <c r="Z130" s="609"/>
      <c r="AA130" s="45"/>
      <c r="AB130" s="45"/>
      <c r="AC130" s="45"/>
      <c r="AD130" s="45"/>
      <c r="AE130" s="45"/>
      <c r="AF130" s="48"/>
      <c r="AG130" s="47"/>
      <c r="AH130" s="47"/>
      <c r="AI130" s="47"/>
      <c r="AJ130" s="47"/>
      <c r="AK130" s="124" t="n">
        <v>11</v>
      </c>
    </row>
    <row r="131" s="124" customFormat="true" ht="11.25" hidden="false" customHeight="true" outlineLevel="0" collapsed="false">
      <c r="A131" s="608"/>
      <c r="B131" s="608"/>
      <c r="C131" s="608"/>
      <c r="D131" s="608"/>
      <c r="E131" s="608"/>
      <c r="F131" s="49"/>
      <c r="G131" s="49"/>
      <c r="N131" s="45"/>
      <c r="P131" s="45"/>
      <c r="Q131" s="49"/>
      <c r="R131" s="49"/>
      <c r="S131" s="45"/>
      <c r="T131" s="45"/>
      <c r="U131" s="45"/>
      <c r="V131" s="45"/>
      <c r="W131" s="49"/>
      <c r="X131" s="45"/>
      <c r="Y131" s="45"/>
      <c r="Z131" s="609"/>
      <c r="AA131" s="45"/>
      <c r="AB131" s="45"/>
      <c r="AC131" s="45"/>
      <c r="AD131" s="45"/>
      <c r="AE131" s="45"/>
      <c r="AF131" s="48"/>
      <c r="AG131" s="47"/>
      <c r="AH131" s="47"/>
      <c r="AI131" s="47"/>
      <c r="AJ131" s="47"/>
      <c r="AK131" s="124" t="n">
        <v>11</v>
      </c>
    </row>
    <row r="132" s="124" customFormat="true" ht="11.25" hidden="false" customHeight="true" outlineLevel="0" collapsed="false">
      <c r="A132" s="608"/>
      <c r="B132" s="608"/>
      <c r="C132" s="608"/>
      <c r="D132" s="608"/>
      <c r="E132" s="608"/>
      <c r="F132" s="49"/>
      <c r="G132" s="49"/>
      <c r="N132" s="45"/>
      <c r="P132" s="45"/>
      <c r="Q132" s="49"/>
      <c r="R132" s="49"/>
      <c r="S132" s="45"/>
      <c r="T132" s="45"/>
      <c r="U132" s="45"/>
      <c r="V132" s="45"/>
      <c r="W132" s="49"/>
      <c r="X132" s="45"/>
      <c r="Y132" s="45"/>
      <c r="Z132" s="609"/>
      <c r="AA132" s="45"/>
      <c r="AB132" s="45"/>
      <c r="AC132" s="45"/>
      <c r="AD132" s="45"/>
      <c r="AE132" s="45"/>
      <c r="AF132" s="48"/>
      <c r="AG132" s="47"/>
      <c r="AH132" s="47"/>
      <c r="AI132" s="47"/>
      <c r="AJ132" s="47"/>
      <c r="AK132" s="124" t="n">
        <v>11</v>
      </c>
    </row>
    <row r="133" s="124" customFormat="true" ht="11.25" hidden="false" customHeight="true" outlineLevel="0" collapsed="false">
      <c r="A133" s="608"/>
      <c r="B133" s="608"/>
      <c r="C133" s="608"/>
      <c r="D133" s="608"/>
      <c r="E133" s="608"/>
      <c r="F133" s="49"/>
      <c r="G133" s="49"/>
      <c r="N133" s="45"/>
      <c r="P133" s="45"/>
      <c r="Q133" s="49"/>
      <c r="R133" s="49"/>
      <c r="S133" s="45"/>
      <c r="T133" s="45"/>
      <c r="U133" s="45"/>
      <c r="V133" s="45"/>
      <c r="W133" s="49"/>
      <c r="X133" s="45"/>
      <c r="Y133" s="45"/>
      <c r="Z133" s="609"/>
      <c r="AA133" s="45"/>
      <c r="AB133" s="45"/>
      <c r="AC133" s="45"/>
      <c r="AD133" s="45"/>
      <c r="AE133" s="45"/>
      <c r="AF133" s="48"/>
      <c r="AG133" s="47"/>
      <c r="AH133" s="47"/>
      <c r="AI133" s="47"/>
      <c r="AJ133" s="47"/>
      <c r="AK133" s="124" t="n">
        <v>11</v>
      </c>
    </row>
    <row r="134" s="124" customFormat="true" ht="11.25" hidden="false" customHeight="true" outlineLevel="0" collapsed="false">
      <c r="A134" s="608"/>
      <c r="B134" s="608"/>
      <c r="C134" s="608"/>
      <c r="D134" s="608"/>
      <c r="E134" s="608"/>
      <c r="F134" s="49"/>
      <c r="G134" s="49"/>
      <c r="N134" s="45"/>
      <c r="P134" s="45"/>
      <c r="Q134" s="49"/>
      <c r="R134" s="49"/>
      <c r="S134" s="45"/>
      <c r="T134" s="45"/>
      <c r="U134" s="45"/>
      <c r="V134" s="45"/>
      <c r="W134" s="49"/>
      <c r="X134" s="45"/>
      <c r="Y134" s="45"/>
      <c r="Z134" s="609"/>
      <c r="AA134" s="45"/>
      <c r="AB134" s="45"/>
      <c r="AC134" s="45"/>
      <c r="AD134" s="45"/>
      <c r="AE134" s="45"/>
      <c r="AF134" s="48"/>
      <c r="AG134" s="47"/>
      <c r="AH134" s="47"/>
      <c r="AI134" s="47"/>
      <c r="AJ134" s="47"/>
      <c r="AK134" s="124" t="n">
        <v>11</v>
      </c>
    </row>
    <row r="135" s="124" customFormat="true" ht="11.25" hidden="false" customHeight="true" outlineLevel="0" collapsed="false">
      <c r="A135" s="608"/>
      <c r="B135" s="608"/>
      <c r="C135" s="608"/>
      <c r="D135" s="608"/>
      <c r="E135" s="608"/>
      <c r="F135" s="49"/>
      <c r="G135" s="49"/>
      <c r="N135" s="45"/>
      <c r="P135" s="45"/>
      <c r="Q135" s="49"/>
      <c r="R135" s="49"/>
      <c r="S135" s="45"/>
      <c r="T135" s="45"/>
      <c r="U135" s="45"/>
      <c r="V135" s="45"/>
      <c r="W135" s="49"/>
      <c r="X135" s="45"/>
      <c r="Y135" s="45"/>
      <c r="Z135" s="609"/>
      <c r="AA135" s="45"/>
      <c r="AB135" s="45"/>
      <c r="AC135" s="45"/>
      <c r="AD135" s="45"/>
      <c r="AE135" s="45"/>
      <c r="AF135" s="48"/>
      <c r="AG135" s="47"/>
      <c r="AH135" s="47"/>
      <c r="AI135" s="47"/>
      <c r="AJ135" s="47"/>
      <c r="AK135" s="124" t="n">
        <v>11</v>
      </c>
    </row>
    <row r="136" s="124" customFormat="true" ht="11.25" hidden="false" customHeight="true" outlineLevel="0" collapsed="false">
      <c r="A136" s="608"/>
      <c r="B136" s="608"/>
      <c r="C136" s="608"/>
      <c r="D136" s="608"/>
      <c r="E136" s="608"/>
      <c r="F136" s="49"/>
      <c r="G136" s="49"/>
      <c r="N136" s="45"/>
      <c r="P136" s="45"/>
      <c r="Q136" s="49"/>
      <c r="R136" s="49"/>
      <c r="S136" s="45"/>
      <c r="T136" s="45"/>
      <c r="U136" s="45"/>
      <c r="V136" s="45"/>
      <c r="W136" s="49"/>
      <c r="X136" s="45"/>
      <c r="Y136" s="45"/>
      <c r="Z136" s="609"/>
      <c r="AA136" s="45"/>
      <c r="AB136" s="45"/>
      <c r="AC136" s="45"/>
      <c r="AD136" s="45"/>
      <c r="AE136" s="45"/>
      <c r="AF136" s="48"/>
      <c r="AG136" s="47"/>
      <c r="AH136" s="47"/>
      <c r="AI136" s="47"/>
      <c r="AJ136" s="47"/>
      <c r="AK136" s="124" t="n">
        <v>11</v>
      </c>
    </row>
    <row r="137" s="124" customFormat="true" ht="11.25" hidden="false" customHeight="true" outlineLevel="0" collapsed="false">
      <c r="A137" s="608"/>
      <c r="B137" s="608"/>
      <c r="C137" s="608"/>
      <c r="D137" s="608"/>
      <c r="E137" s="608"/>
      <c r="F137" s="49"/>
      <c r="G137" s="49"/>
      <c r="N137" s="45"/>
      <c r="P137" s="45"/>
      <c r="Q137" s="49"/>
      <c r="R137" s="49"/>
      <c r="S137" s="45"/>
      <c r="T137" s="45"/>
      <c r="U137" s="45"/>
      <c r="V137" s="45"/>
      <c r="W137" s="49"/>
      <c r="X137" s="45"/>
      <c r="Y137" s="45"/>
      <c r="Z137" s="609"/>
      <c r="AA137" s="45"/>
      <c r="AB137" s="45"/>
      <c r="AC137" s="45"/>
      <c r="AD137" s="45"/>
      <c r="AE137" s="45"/>
      <c r="AF137" s="48"/>
      <c r="AG137" s="47"/>
      <c r="AH137" s="47"/>
      <c r="AI137" s="47"/>
      <c r="AJ137" s="47"/>
      <c r="AK137" s="124" t="n">
        <v>11</v>
      </c>
    </row>
    <row r="138" s="124" customFormat="true" ht="11.25" hidden="false" customHeight="true" outlineLevel="0" collapsed="false">
      <c r="A138" s="608"/>
      <c r="B138" s="608"/>
      <c r="C138" s="608"/>
      <c r="D138" s="608"/>
      <c r="E138" s="608"/>
      <c r="F138" s="49"/>
      <c r="G138" s="49"/>
      <c r="N138" s="45"/>
      <c r="P138" s="45"/>
      <c r="Q138" s="49"/>
      <c r="R138" s="49"/>
      <c r="S138" s="45"/>
      <c r="T138" s="45"/>
      <c r="U138" s="45"/>
      <c r="V138" s="45"/>
      <c r="W138" s="49"/>
      <c r="X138" s="45"/>
      <c r="Y138" s="45"/>
      <c r="Z138" s="609"/>
      <c r="AA138" s="45"/>
      <c r="AB138" s="45"/>
      <c r="AC138" s="45"/>
      <c r="AD138" s="45"/>
      <c r="AE138" s="45"/>
      <c r="AF138" s="48"/>
      <c r="AG138" s="47"/>
      <c r="AH138" s="47"/>
      <c r="AI138" s="47"/>
      <c r="AJ138" s="47"/>
      <c r="AK138" s="124" t="n">
        <v>11</v>
      </c>
    </row>
    <row r="139" s="124" customFormat="true" ht="11.25" hidden="false" customHeight="true" outlineLevel="0" collapsed="false">
      <c r="A139" s="608"/>
      <c r="B139" s="608"/>
      <c r="C139" s="608"/>
      <c r="D139" s="608"/>
      <c r="E139" s="608"/>
      <c r="F139" s="49"/>
      <c r="G139" s="49"/>
      <c r="N139" s="45"/>
      <c r="P139" s="45"/>
      <c r="Q139" s="49"/>
      <c r="R139" s="49"/>
      <c r="S139" s="45"/>
      <c r="T139" s="45"/>
      <c r="U139" s="45"/>
      <c r="V139" s="45"/>
      <c r="W139" s="49"/>
      <c r="X139" s="45"/>
      <c r="Y139" s="45"/>
      <c r="Z139" s="609"/>
      <c r="AA139" s="45"/>
      <c r="AB139" s="45"/>
      <c r="AC139" s="45"/>
      <c r="AD139" s="45"/>
      <c r="AE139" s="45"/>
      <c r="AF139" s="48"/>
      <c r="AG139" s="47"/>
      <c r="AH139" s="47"/>
      <c r="AI139" s="47"/>
      <c r="AJ139" s="47"/>
      <c r="AK139" s="124" t="n">
        <v>11</v>
      </c>
    </row>
    <row r="140" s="124" customFormat="true" ht="11.25" hidden="false" customHeight="true" outlineLevel="0" collapsed="false">
      <c r="A140" s="608"/>
      <c r="B140" s="608"/>
      <c r="C140" s="608"/>
      <c r="D140" s="608"/>
      <c r="E140" s="608"/>
      <c r="F140" s="49"/>
      <c r="G140" s="49"/>
      <c r="N140" s="45"/>
      <c r="P140" s="45"/>
      <c r="Q140" s="49"/>
      <c r="R140" s="49"/>
      <c r="S140" s="45"/>
      <c r="T140" s="45"/>
      <c r="U140" s="45"/>
      <c r="V140" s="45"/>
      <c r="W140" s="49"/>
      <c r="X140" s="45"/>
      <c r="Y140" s="45"/>
      <c r="Z140" s="609"/>
      <c r="AA140" s="45"/>
      <c r="AB140" s="45"/>
      <c r="AC140" s="45"/>
      <c r="AD140" s="45"/>
      <c r="AE140" s="45"/>
      <c r="AF140" s="48"/>
      <c r="AG140" s="47"/>
      <c r="AH140" s="47"/>
      <c r="AI140" s="47"/>
      <c r="AJ140" s="47"/>
      <c r="AK140" s="124" t="n">
        <v>11</v>
      </c>
    </row>
    <row r="141" s="124" customFormat="true" ht="11.25" hidden="false" customHeight="true" outlineLevel="0" collapsed="false">
      <c r="A141" s="608"/>
      <c r="B141" s="608"/>
      <c r="C141" s="608"/>
      <c r="D141" s="608"/>
      <c r="E141" s="608"/>
      <c r="F141" s="49"/>
      <c r="G141" s="49"/>
      <c r="N141" s="45"/>
      <c r="P141" s="45"/>
      <c r="Q141" s="49"/>
      <c r="R141" s="49"/>
      <c r="S141" s="45"/>
      <c r="T141" s="45"/>
      <c r="U141" s="45"/>
      <c r="V141" s="45"/>
      <c r="W141" s="49"/>
      <c r="X141" s="45"/>
      <c r="Y141" s="45"/>
      <c r="Z141" s="609"/>
      <c r="AA141" s="45"/>
      <c r="AB141" s="45"/>
      <c r="AC141" s="45"/>
      <c r="AD141" s="45"/>
      <c r="AE141" s="45"/>
      <c r="AF141" s="48"/>
      <c r="AG141" s="47"/>
      <c r="AH141" s="47"/>
      <c r="AI141" s="47"/>
      <c r="AJ141" s="47"/>
      <c r="AK141" s="124" t="n">
        <v>11</v>
      </c>
    </row>
    <row r="142" s="124" customFormat="true" ht="11.25" hidden="false" customHeight="true" outlineLevel="0" collapsed="false">
      <c r="A142" s="608"/>
      <c r="B142" s="608"/>
      <c r="C142" s="608"/>
      <c r="D142" s="608"/>
      <c r="E142" s="608"/>
      <c r="F142" s="49"/>
      <c r="G142" s="49"/>
      <c r="N142" s="45"/>
      <c r="P142" s="45"/>
      <c r="Q142" s="49"/>
      <c r="R142" s="49"/>
      <c r="S142" s="45"/>
      <c r="T142" s="45"/>
      <c r="U142" s="45"/>
      <c r="V142" s="45"/>
      <c r="W142" s="49"/>
      <c r="X142" s="45"/>
      <c r="Y142" s="45"/>
      <c r="Z142" s="609"/>
      <c r="AA142" s="45"/>
      <c r="AB142" s="45"/>
      <c r="AC142" s="45"/>
      <c r="AD142" s="45"/>
      <c r="AE142" s="45"/>
      <c r="AF142" s="48"/>
      <c r="AG142" s="47"/>
      <c r="AH142" s="47"/>
      <c r="AI142" s="47"/>
      <c r="AJ142" s="47"/>
      <c r="AK142" s="124" t="n">
        <v>11</v>
      </c>
    </row>
    <row r="143" s="124" customFormat="true" ht="11.25" hidden="false" customHeight="true" outlineLevel="0" collapsed="false">
      <c r="A143" s="608"/>
      <c r="B143" s="608"/>
      <c r="C143" s="608"/>
      <c r="D143" s="608"/>
      <c r="E143" s="608"/>
      <c r="F143" s="49"/>
      <c r="G143" s="49"/>
      <c r="N143" s="45"/>
      <c r="P143" s="45"/>
      <c r="Q143" s="49"/>
      <c r="R143" s="49"/>
      <c r="S143" s="45"/>
      <c r="T143" s="45"/>
      <c r="U143" s="45"/>
      <c r="V143" s="45"/>
      <c r="W143" s="49"/>
      <c r="X143" s="45"/>
      <c r="Y143" s="45"/>
      <c r="Z143" s="609"/>
      <c r="AA143" s="45"/>
      <c r="AB143" s="45"/>
      <c r="AC143" s="45"/>
      <c r="AD143" s="45"/>
      <c r="AE143" s="45"/>
      <c r="AF143" s="48"/>
      <c r="AG143" s="47"/>
      <c r="AH143" s="47"/>
      <c r="AI143" s="47"/>
      <c r="AJ143" s="47"/>
      <c r="AK143" s="124" t="n">
        <v>11</v>
      </c>
    </row>
    <row r="144" s="124" customFormat="true" ht="11.25" hidden="false" customHeight="true" outlineLevel="0" collapsed="false">
      <c r="A144" s="608"/>
      <c r="B144" s="608"/>
      <c r="C144" s="608"/>
      <c r="D144" s="608"/>
      <c r="E144" s="608"/>
      <c r="F144" s="49"/>
      <c r="G144" s="49"/>
      <c r="N144" s="45"/>
      <c r="P144" s="45"/>
      <c r="Q144" s="49"/>
      <c r="R144" s="49"/>
      <c r="S144" s="45"/>
      <c r="T144" s="45"/>
      <c r="U144" s="45"/>
      <c r="V144" s="45"/>
      <c r="W144" s="49"/>
      <c r="X144" s="45"/>
      <c r="Y144" s="45"/>
      <c r="Z144" s="609"/>
      <c r="AA144" s="45"/>
      <c r="AB144" s="45"/>
      <c r="AC144" s="45"/>
      <c r="AD144" s="45"/>
      <c r="AE144" s="45"/>
      <c r="AF144" s="48"/>
      <c r="AG144" s="47"/>
      <c r="AH144" s="47"/>
      <c r="AI144" s="47"/>
      <c r="AJ144" s="47"/>
      <c r="AK144" s="124" t="n">
        <v>11</v>
      </c>
    </row>
    <row r="145" s="124" customFormat="true" ht="11.25" hidden="false" customHeight="true" outlineLevel="0" collapsed="false">
      <c r="A145" s="608"/>
      <c r="B145" s="608"/>
      <c r="C145" s="608"/>
      <c r="D145" s="608"/>
      <c r="E145" s="608"/>
      <c r="F145" s="49"/>
      <c r="G145" s="49"/>
      <c r="N145" s="45"/>
      <c r="P145" s="45"/>
      <c r="Q145" s="49"/>
      <c r="R145" s="49"/>
      <c r="S145" s="45"/>
      <c r="T145" s="45"/>
      <c r="U145" s="45"/>
      <c r="V145" s="45"/>
      <c r="W145" s="49"/>
      <c r="X145" s="45"/>
      <c r="Y145" s="45"/>
      <c r="Z145" s="609"/>
      <c r="AA145" s="45"/>
      <c r="AB145" s="45"/>
      <c r="AC145" s="45"/>
      <c r="AD145" s="45"/>
      <c r="AE145" s="45"/>
      <c r="AF145" s="48"/>
      <c r="AG145" s="47"/>
      <c r="AH145" s="47"/>
      <c r="AI145" s="47"/>
      <c r="AJ145" s="47"/>
      <c r="AK145" s="124" t="n">
        <v>11</v>
      </c>
    </row>
    <row r="146" s="124" customFormat="true" ht="11.25" hidden="false" customHeight="true" outlineLevel="0" collapsed="false">
      <c r="A146" s="608"/>
      <c r="B146" s="608"/>
      <c r="C146" s="608"/>
      <c r="D146" s="608"/>
      <c r="E146" s="608"/>
      <c r="F146" s="49"/>
      <c r="G146" s="49"/>
      <c r="N146" s="45"/>
      <c r="P146" s="45"/>
      <c r="Q146" s="49"/>
      <c r="R146" s="49"/>
      <c r="S146" s="45"/>
      <c r="T146" s="45"/>
      <c r="U146" s="45"/>
      <c r="V146" s="45"/>
      <c r="W146" s="49"/>
      <c r="X146" s="45"/>
      <c r="Y146" s="45"/>
      <c r="Z146" s="609"/>
      <c r="AA146" s="45"/>
      <c r="AB146" s="45"/>
      <c r="AC146" s="45"/>
      <c r="AD146" s="45"/>
      <c r="AE146" s="45"/>
      <c r="AF146" s="48"/>
      <c r="AG146" s="47"/>
      <c r="AH146" s="47"/>
      <c r="AI146" s="47"/>
      <c r="AJ146" s="47"/>
      <c r="AK146" s="124" t="n">
        <v>11</v>
      </c>
    </row>
    <row r="147" s="124" customFormat="true" ht="11.25" hidden="false" customHeight="true" outlineLevel="0" collapsed="false">
      <c r="A147" s="608"/>
      <c r="B147" s="608"/>
      <c r="C147" s="608"/>
      <c r="D147" s="608"/>
      <c r="E147" s="608"/>
      <c r="F147" s="49"/>
      <c r="G147" s="49"/>
      <c r="N147" s="45"/>
      <c r="P147" s="45"/>
      <c r="Q147" s="49"/>
      <c r="R147" s="49"/>
      <c r="S147" s="45"/>
      <c r="T147" s="45"/>
      <c r="U147" s="45"/>
      <c r="V147" s="45"/>
      <c r="W147" s="49"/>
      <c r="X147" s="45"/>
      <c r="Y147" s="45"/>
      <c r="Z147" s="609"/>
      <c r="AA147" s="45"/>
      <c r="AB147" s="45"/>
      <c r="AC147" s="45"/>
      <c r="AD147" s="45"/>
      <c r="AE147" s="45"/>
      <c r="AF147" s="48"/>
      <c r="AG147" s="47"/>
      <c r="AH147" s="47"/>
      <c r="AI147" s="47"/>
      <c r="AJ147" s="47"/>
      <c r="AK147" s="124" t="n">
        <v>11</v>
      </c>
    </row>
    <row r="148" s="124" customFormat="true" ht="11.25" hidden="false" customHeight="true" outlineLevel="0" collapsed="false">
      <c r="A148" s="608"/>
      <c r="B148" s="608"/>
      <c r="C148" s="608"/>
      <c r="D148" s="608"/>
      <c r="E148" s="608"/>
      <c r="F148" s="49"/>
      <c r="G148" s="49"/>
      <c r="N148" s="45"/>
      <c r="P148" s="45"/>
      <c r="Q148" s="49"/>
      <c r="R148" s="49"/>
      <c r="S148" s="45"/>
      <c r="T148" s="45"/>
      <c r="U148" s="45"/>
      <c r="V148" s="45"/>
      <c r="W148" s="49"/>
      <c r="X148" s="45"/>
      <c r="Y148" s="45"/>
      <c r="Z148" s="609"/>
      <c r="AA148" s="45"/>
      <c r="AB148" s="45"/>
      <c r="AC148" s="45"/>
      <c r="AD148" s="45"/>
      <c r="AE148" s="45"/>
      <c r="AF148" s="48"/>
      <c r="AG148" s="47"/>
      <c r="AH148" s="47"/>
      <c r="AI148" s="47"/>
      <c r="AJ148" s="47"/>
      <c r="AK148" s="124" t="n">
        <v>11</v>
      </c>
    </row>
    <row r="149" s="124" customFormat="true" ht="11.25" hidden="false" customHeight="true" outlineLevel="0" collapsed="false">
      <c r="A149" s="608"/>
      <c r="B149" s="608"/>
      <c r="C149" s="608"/>
      <c r="D149" s="608"/>
      <c r="E149" s="608"/>
      <c r="F149" s="49"/>
      <c r="G149" s="49"/>
      <c r="N149" s="45"/>
      <c r="P149" s="45"/>
      <c r="Q149" s="49"/>
      <c r="R149" s="49"/>
      <c r="S149" s="45"/>
      <c r="T149" s="45"/>
      <c r="U149" s="45"/>
      <c r="V149" s="45"/>
      <c r="W149" s="49"/>
      <c r="X149" s="45"/>
      <c r="Y149" s="45"/>
      <c r="Z149" s="609"/>
      <c r="AA149" s="45"/>
      <c r="AB149" s="45"/>
      <c r="AC149" s="45"/>
      <c r="AD149" s="45"/>
      <c r="AE149" s="45"/>
      <c r="AF149" s="48"/>
      <c r="AG149" s="47"/>
      <c r="AH149" s="47"/>
      <c r="AI149" s="47"/>
      <c r="AJ149" s="47"/>
      <c r="AK149" s="124" t="n">
        <v>11</v>
      </c>
    </row>
    <row r="150" s="124" customFormat="true" ht="11.25" hidden="false" customHeight="true" outlineLevel="0" collapsed="false">
      <c r="A150" s="608"/>
      <c r="B150" s="608"/>
      <c r="C150" s="608"/>
      <c r="D150" s="608"/>
      <c r="E150" s="608"/>
      <c r="F150" s="49"/>
      <c r="G150" s="49"/>
      <c r="N150" s="45"/>
      <c r="P150" s="45"/>
      <c r="Q150" s="49"/>
      <c r="R150" s="49"/>
      <c r="S150" s="45"/>
      <c r="T150" s="45"/>
      <c r="U150" s="45"/>
      <c r="V150" s="45"/>
      <c r="W150" s="49"/>
      <c r="X150" s="45"/>
      <c r="Y150" s="45"/>
      <c r="Z150" s="609"/>
      <c r="AA150" s="45"/>
      <c r="AB150" s="45"/>
      <c r="AC150" s="45"/>
      <c r="AD150" s="45"/>
      <c r="AE150" s="45"/>
      <c r="AF150" s="48"/>
      <c r="AG150" s="47"/>
      <c r="AH150" s="47"/>
      <c r="AI150" s="47"/>
      <c r="AJ150" s="47"/>
      <c r="AK150" s="124" t="n">
        <v>11</v>
      </c>
    </row>
    <row r="151" s="124" customFormat="true" ht="11.25" hidden="false" customHeight="true" outlineLevel="0" collapsed="false">
      <c r="A151" s="608"/>
      <c r="B151" s="608"/>
      <c r="C151" s="608"/>
      <c r="D151" s="608"/>
      <c r="E151" s="608"/>
      <c r="F151" s="49"/>
      <c r="G151" s="49"/>
      <c r="N151" s="45"/>
      <c r="P151" s="45"/>
      <c r="Q151" s="49"/>
      <c r="R151" s="49"/>
      <c r="S151" s="45"/>
      <c r="T151" s="45"/>
      <c r="U151" s="45"/>
      <c r="V151" s="45"/>
      <c r="W151" s="49"/>
      <c r="X151" s="45"/>
      <c r="Y151" s="45"/>
      <c r="Z151" s="609"/>
      <c r="AA151" s="45"/>
      <c r="AB151" s="45"/>
      <c r="AC151" s="45"/>
      <c r="AD151" s="45"/>
      <c r="AE151" s="45"/>
      <c r="AF151" s="48"/>
      <c r="AG151" s="47"/>
      <c r="AH151" s="47"/>
      <c r="AI151" s="47"/>
      <c r="AJ151" s="47"/>
      <c r="AK151" s="124" t="n">
        <v>11</v>
      </c>
    </row>
    <row r="152" s="124" customFormat="true" ht="11.25" hidden="false" customHeight="true" outlineLevel="0" collapsed="false">
      <c r="A152" s="608"/>
      <c r="B152" s="608"/>
      <c r="C152" s="608"/>
      <c r="D152" s="608"/>
      <c r="E152" s="608"/>
      <c r="F152" s="49"/>
      <c r="G152" s="49"/>
      <c r="N152" s="45"/>
      <c r="P152" s="45"/>
      <c r="Q152" s="49"/>
      <c r="R152" s="49"/>
      <c r="S152" s="45"/>
      <c r="T152" s="45"/>
      <c r="U152" s="45"/>
      <c r="V152" s="45"/>
      <c r="W152" s="49"/>
      <c r="X152" s="45"/>
      <c r="Y152" s="45"/>
      <c r="Z152" s="609"/>
      <c r="AA152" s="45"/>
      <c r="AB152" s="45"/>
      <c r="AC152" s="45"/>
      <c r="AD152" s="45"/>
      <c r="AE152" s="45"/>
      <c r="AF152" s="48"/>
      <c r="AG152" s="47"/>
      <c r="AH152" s="47"/>
      <c r="AI152" s="47"/>
      <c r="AJ152" s="47"/>
      <c r="AK152" s="124" t="n">
        <v>11</v>
      </c>
    </row>
    <row r="153" s="124" customFormat="true" ht="11.25" hidden="false" customHeight="true" outlineLevel="0" collapsed="false">
      <c r="A153" s="608"/>
      <c r="B153" s="608"/>
      <c r="C153" s="608"/>
      <c r="D153" s="608"/>
      <c r="E153" s="608"/>
      <c r="F153" s="49"/>
      <c r="G153" s="49"/>
      <c r="N153" s="45"/>
      <c r="P153" s="45"/>
      <c r="Q153" s="49"/>
      <c r="R153" s="49"/>
      <c r="S153" s="45"/>
      <c r="T153" s="45"/>
      <c r="U153" s="45"/>
      <c r="V153" s="45"/>
      <c r="W153" s="49"/>
      <c r="X153" s="45"/>
      <c r="Y153" s="45"/>
      <c r="Z153" s="609"/>
      <c r="AA153" s="45"/>
      <c r="AB153" s="45"/>
      <c r="AC153" s="45"/>
      <c r="AD153" s="45"/>
      <c r="AE153" s="45"/>
      <c r="AF153" s="48"/>
      <c r="AG153" s="47"/>
      <c r="AH153" s="47"/>
      <c r="AI153" s="47"/>
      <c r="AJ153" s="47"/>
      <c r="AK153" s="124" t="n">
        <v>11</v>
      </c>
    </row>
    <row r="154" s="124" customFormat="true" ht="11.25" hidden="false" customHeight="true" outlineLevel="0" collapsed="false">
      <c r="A154" s="608"/>
      <c r="B154" s="608"/>
      <c r="C154" s="608"/>
      <c r="D154" s="608"/>
      <c r="E154" s="608"/>
      <c r="F154" s="49"/>
      <c r="G154" s="49"/>
      <c r="N154" s="45"/>
      <c r="P154" s="45"/>
      <c r="Q154" s="49"/>
      <c r="R154" s="49"/>
      <c r="S154" s="45"/>
      <c r="T154" s="45"/>
      <c r="U154" s="45"/>
      <c r="V154" s="45"/>
      <c r="W154" s="49"/>
      <c r="X154" s="45"/>
      <c r="Y154" s="45"/>
      <c r="Z154" s="609"/>
      <c r="AA154" s="45"/>
      <c r="AB154" s="45"/>
      <c r="AC154" s="45"/>
      <c r="AD154" s="45"/>
      <c r="AE154" s="45"/>
      <c r="AF154" s="48"/>
      <c r="AG154" s="47"/>
      <c r="AH154" s="47"/>
      <c r="AI154" s="47"/>
      <c r="AJ154" s="47"/>
      <c r="AK154" s="124" t="n">
        <v>11</v>
      </c>
    </row>
    <row r="155" s="124" customFormat="true" ht="11.25" hidden="false" customHeight="true" outlineLevel="0" collapsed="false">
      <c r="A155" s="608"/>
      <c r="B155" s="608"/>
      <c r="C155" s="608"/>
      <c r="D155" s="608"/>
      <c r="E155" s="608"/>
      <c r="F155" s="49"/>
      <c r="G155" s="49"/>
      <c r="N155" s="45"/>
      <c r="P155" s="45"/>
      <c r="Q155" s="49"/>
      <c r="R155" s="49"/>
      <c r="S155" s="45"/>
      <c r="T155" s="45"/>
      <c r="U155" s="45"/>
      <c r="V155" s="45"/>
      <c r="W155" s="49"/>
      <c r="X155" s="45"/>
      <c r="Y155" s="45"/>
      <c r="Z155" s="609"/>
      <c r="AA155" s="45"/>
      <c r="AB155" s="45"/>
      <c r="AC155" s="45"/>
      <c r="AD155" s="45"/>
      <c r="AE155" s="45"/>
      <c r="AF155" s="48"/>
      <c r="AG155" s="47"/>
      <c r="AH155" s="47"/>
      <c r="AI155" s="47"/>
      <c r="AJ155" s="47"/>
      <c r="AK155" s="124" t="n">
        <v>11</v>
      </c>
    </row>
    <row r="156" s="124" customFormat="true" ht="11.25" hidden="false" customHeight="true" outlineLevel="0" collapsed="false">
      <c r="A156" s="608"/>
      <c r="B156" s="608"/>
      <c r="C156" s="608"/>
      <c r="D156" s="608"/>
      <c r="E156" s="608"/>
      <c r="F156" s="49"/>
      <c r="G156" s="49"/>
      <c r="N156" s="45"/>
      <c r="P156" s="45"/>
      <c r="Q156" s="49"/>
      <c r="R156" s="49"/>
      <c r="S156" s="45"/>
      <c r="T156" s="45"/>
      <c r="U156" s="45"/>
      <c r="V156" s="45"/>
      <c r="W156" s="49"/>
      <c r="X156" s="45"/>
      <c r="Y156" s="45"/>
      <c r="Z156" s="609"/>
      <c r="AA156" s="45"/>
      <c r="AB156" s="45"/>
      <c r="AC156" s="45"/>
      <c r="AD156" s="45"/>
      <c r="AE156" s="45"/>
      <c r="AF156" s="48"/>
      <c r="AG156" s="47"/>
      <c r="AH156" s="47"/>
      <c r="AI156" s="47"/>
      <c r="AJ156" s="47"/>
      <c r="AK156" s="124" t="n">
        <v>11</v>
      </c>
    </row>
    <row r="157" s="124" customFormat="true" ht="11.25" hidden="false" customHeight="true" outlineLevel="0" collapsed="false">
      <c r="A157" s="608"/>
      <c r="B157" s="608"/>
      <c r="C157" s="608"/>
      <c r="D157" s="608"/>
      <c r="E157" s="608"/>
      <c r="F157" s="49"/>
      <c r="G157" s="49"/>
      <c r="N157" s="45"/>
      <c r="P157" s="45"/>
      <c r="Q157" s="49"/>
      <c r="R157" s="49"/>
      <c r="S157" s="45"/>
      <c r="T157" s="45"/>
      <c r="U157" s="45"/>
      <c r="V157" s="45"/>
      <c r="W157" s="49"/>
      <c r="X157" s="45"/>
      <c r="Y157" s="45"/>
      <c r="Z157" s="609"/>
      <c r="AA157" s="45"/>
      <c r="AB157" s="45"/>
      <c r="AC157" s="45"/>
      <c r="AD157" s="45"/>
      <c r="AE157" s="45"/>
      <c r="AF157" s="48"/>
      <c r="AG157" s="47"/>
      <c r="AH157" s="47"/>
      <c r="AI157" s="47"/>
      <c r="AJ157" s="47"/>
      <c r="AK157" s="124" t="n">
        <v>11</v>
      </c>
    </row>
    <row r="158" s="124" customFormat="true" ht="11.25" hidden="false" customHeight="true" outlineLevel="0" collapsed="false">
      <c r="A158" s="608"/>
      <c r="B158" s="608"/>
      <c r="C158" s="608"/>
      <c r="D158" s="608"/>
      <c r="E158" s="608"/>
      <c r="F158" s="49"/>
      <c r="G158" s="49"/>
      <c r="N158" s="45"/>
      <c r="P158" s="45"/>
      <c r="Q158" s="49"/>
      <c r="R158" s="49"/>
      <c r="S158" s="45"/>
      <c r="T158" s="45"/>
      <c r="U158" s="45"/>
      <c r="V158" s="45"/>
      <c r="W158" s="49"/>
      <c r="X158" s="45"/>
      <c r="Y158" s="45"/>
      <c r="Z158" s="609"/>
      <c r="AA158" s="45"/>
      <c r="AB158" s="45"/>
      <c r="AC158" s="45"/>
      <c r="AD158" s="45"/>
      <c r="AE158" s="45"/>
      <c r="AF158" s="48"/>
      <c r="AG158" s="47"/>
      <c r="AH158" s="47"/>
      <c r="AI158" s="47"/>
      <c r="AJ158" s="47"/>
      <c r="AK158" s="124" t="n">
        <v>11</v>
      </c>
    </row>
    <row r="159" s="124" customFormat="true" ht="11.25" hidden="false" customHeight="true" outlineLevel="0" collapsed="false">
      <c r="A159" s="608"/>
      <c r="B159" s="608"/>
      <c r="C159" s="608"/>
      <c r="D159" s="608"/>
      <c r="E159" s="608"/>
      <c r="F159" s="49"/>
      <c r="G159" s="49"/>
      <c r="N159" s="45"/>
      <c r="P159" s="45"/>
      <c r="Q159" s="49"/>
      <c r="R159" s="49"/>
      <c r="S159" s="45"/>
      <c r="T159" s="45"/>
      <c r="U159" s="45"/>
      <c r="V159" s="45"/>
      <c r="W159" s="49"/>
      <c r="X159" s="45"/>
      <c r="Y159" s="45"/>
      <c r="Z159" s="609"/>
      <c r="AA159" s="45"/>
      <c r="AB159" s="45"/>
      <c r="AC159" s="45"/>
      <c r="AD159" s="45"/>
      <c r="AE159" s="45"/>
      <c r="AF159" s="48"/>
      <c r="AG159" s="47"/>
      <c r="AH159" s="47"/>
      <c r="AI159" s="47"/>
      <c r="AJ159" s="47"/>
      <c r="AK159" s="124" t="n">
        <v>11</v>
      </c>
    </row>
    <row r="160" s="124" customFormat="true" ht="11.25" hidden="false" customHeight="true" outlineLevel="0" collapsed="false">
      <c r="A160" s="608"/>
      <c r="B160" s="608"/>
      <c r="C160" s="608"/>
      <c r="D160" s="608"/>
      <c r="E160" s="608"/>
      <c r="F160" s="49"/>
      <c r="G160" s="49"/>
      <c r="N160" s="45"/>
      <c r="P160" s="45"/>
      <c r="Q160" s="49"/>
      <c r="R160" s="49"/>
      <c r="S160" s="45"/>
      <c r="T160" s="45"/>
      <c r="U160" s="45"/>
      <c r="V160" s="45"/>
      <c r="W160" s="49"/>
      <c r="X160" s="45"/>
      <c r="Y160" s="45"/>
      <c r="Z160" s="609"/>
      <c r="AA160" s="45"/>
      <c r="AB160" s="45"/>
      <c r="AC160" s="45"/>
      <c r="AD160" s="45"/>
      <c r="AE160" s="45"/>
      <c r="AF160" s="48"/>
      <c r="AG160" s="47"/>
      <c r="AH160" s="47"/>
      <c r="AI160" s="47"/>
      <c r="AJ160" s="47"/>
      <c r="AK160" s="124" t="n">
        <v>11</v>
      </c>
    </row>
    <row r="161" s="124" customFormat="true" ht="11.25" hidden="false" customHeight="true" outlineLevel="0" collapsed="false">
      <c r="A161" s="608"/>
      <c r="B161" s="608"/>
      <c r="C161" s="608"/>
      <c r="D161" s="608"/>
      <c r="E161" s="608"/>
      <c r="F161" s="49"/>
      <c r="G161" s="49"/>
      <c r="N161" s="45"/>
      <c r="P161" s="45"/>
      <c r="Q161" s="49"/>
      <c r="R161" s="49"/>
      <c r="S161" s="45"/>
      <c r="T161" s="45"/>
      <c r="U161" s="45"/>
      <c r="V161" s="45"/>
      <c r="W161" s="49"/>
      <c r="X161" s="45"/>
      <c r="Y161" s="45"/>
      <c r="Z161" s="609"/>
      <c r="AA161" s="45"/>
      <c r="AB161" s="45"/>
      <c r="AC161" s="45"/>
      <c r="AD161" s="45"/>
      <c r="AE161" s="45"/>
      <c r="AF161" s="48"/>
      <c r="AG161" s="47"/>
      <c r="AH161" s="47"/>
      <c r="AI161" s="47"/>
      <c r="AJ161" s="47"/>
      <c r="AK161" s="124" t="n">
        <v>11</v>
      </c>
    </row>
    <row r="162" s="124" customFormat="true" ht="11.25" hidden="false" customHeight="true" outlineLevel="0" collapsed="false">
      <c r="A162" s="608"/>
      <c r="B162" s="608"/>
      <c r="C162" s="608"/>
      <c r="D162" s="608"/>
      <c r="E162" s="608"/>
      <c r="F162" s="49"/>
      <c r="G162" s="49"/>
      <c r="N162" s="45"/>
      <c r="P162" s="45"/>
      <c r="Q162" s="49"/>
      <c r="R162" s="49"/>
      <c r="S162" s="45"/>
      <c r="T162" s="45"/>
      <c r="U162" s="45"/>
      <c r="V162" s="45"/>
      <c r="W162" s="49"/>
      <c r="X162" s="45"/>
      <c r="Y162" s="45"/>
      <c r="Z162" s="609"/>
      <c r="AA162" s="45"/>
      <c r="AB162" s="45"/>
      <c r="AC162" s="45"/>
      <c r="AD162" s="45"/>
      <c r="AE162" s="45"/>
      <c r="AF162" s="48"/>
      <c r="AG162" s="47"/>
      <c r="AH162" s="47"/>
      <c r="AI162" s="47"/>
      <c r="AJ162" s="47"/>
      <c r="AK162" s="124" t="n">
        <v>11</v>
      </c>
    </row>
    <row r="163" s="124" customFormat="true" ht="11.25" hidden="false" customHeight="true" outlineLevel="0" collapsed="false">
      <c r="A163" s="608"/>
      <c r="B163" s="608"/>
      <c r="C163" s="608"/>
      <c r="D163" s="608"/>
      <c r="E163" s="608"/>
      <c r="F163" s="49"/>
      <c r="G163" s="49"/>
      <c r="N163" s="45"/>
      <c r="P163" s="45"/>
      <c r="Q163" s="49"/>
      <c r="R163" s="49"/>
      <c r="S163" s="45"/>
      <c r="T163" s="45"/>
      <c r="U163" s="45"/>
      <c r="V163" s="45"/>
      <c r="W163" s="49"/>
      <c r="X163" s="45"/>
      <c r="Y163" s="45"/>
      <c r="Z163" s="609"/>
      <c r="AA163" s="45"/>
      <c r="AB163" s="45"/>
      <c r="AC163" s="45"/>
      <c r="AD163" s="45"/>
      <c r="AE163" s="45"/>
      <c r="AF163" s="48"/>
      <c r="AG163" s="47"/>
      <c r="AH163" s="47"/>
      <c r="AI163" s="47"/>
      <c r="AJ163" s="47"/>
      <c r="AK163" s="124" t="n">
        <v>11</v>
      </c>
    </row>
    <row r="164" s="124" customFormat="true" ht="11.25" hidden="false" customHeight="true" outlineLevel="0" collapsed="false">
      <c r="A164" s="608"/>
      <c r="B164" s="608"/>
      <c r="C164" s="608"/>
      <c r="D164" s="608"/>
      <c r="E164" s="608"/>
      <c r="F164" s="49"/>
      <c r="G164" s="49"/>
      <c r="N164" s="45"/>
      <c r="P164" s="45"/>
      <c r="Q164" s="49"/>
      <c r="R164" s="49"/>
      <c r="S164" s="45"/>
      <c r="T164" s="45"/>
      <c r="U164" s="45"/>
      <c r="V164" s="45"/>
      <c r="W164" s="49"/>
      <c r="X164" s="45"/>
      <c r="Y164" s="45"/>
      <c r="Z164" s="609"/>
      <c r="AA164" s="45"/>
      <c r="AB164" s="45"/>
      <c r="AC164" s="45"/>
      <c r="AD164" s="45"/>
      <c r="AE164" s="45"/>
      <c r="AF164" s="48"/>
      <c r="AG164" s="47"/>
      <c r="AH164" s="47"/>
      <c r="AI164" s="47"/>
      <c r="AJ164" s="47"/>
      <c r="AK164" s="124" t="n">
        <v>11</v>
      </c>
    </row>
    <row r="165" s="124" customFormat="true" ht="11.25" hidden="false" customHeight="true" outlineLevel="0" collapsed="false">
      <c r="A165" s="608"/>
      <c r="B165" s="608"/>
      <c r="C165" s="608"/>
      <c r="D165" s="608"/>
      <c r="E165" s="608"/>
      <c r="F165" s="49"/>
      <c r="G165" s="49"/>
      <c r="N165" s="45"/>
      <c r="P165" s="45"/>
      <c r="Q165" s="49"/>
      <c r="R165" s="49"/>
      <c r="S165" s="45"/>
      <c r="T165" s="45"/>
      <c r="U165" s="45"/>
      <c r="V165" s="45"/>
      <c r="W165" s="49"/>
      <c r="X165" s="45"/>
      <c r="Y165" s="45"/>
      <c r="Z165" s="609"/>
      <c r="AA165" s="45"/>
      <c r="AB165" s="45"/>
      <c r="AC165" s="45"/>
      <c r="AD165" s="45"/>
      <c r="AE165" s="45"/>
      <c r="AF165" s="48"/>
      <c r="AG165" s="47"/>
      <c r="AH165" s="47"/>
      <c r="AI165" s="47"/>
      <c r="AJ165" s="47"/>
      <c r="AK165" s="124" t="n">
        <v>11</v>
      </c>
    </row>
    <row r="166" s="124" customFormat="true" ht="11.25" hidden="false" customHeight="true" outlineLevel="0" collapsed="false">
      <c r="A166" s="608"/>
      <c r="B166" s="608"/>
      <c r="C166" s="608"/>
      <c r="D166" s="608"/>
      <c r="E166" s="608"/>
      <c r="F166" s="49"/>
      <c r="G166" s="49"/>
      <c r="N166" s="45"/>
      <c r="P166" s="45"/>
      <c r="Q166" s="49"/>
      <c r="R166" s="49"/>
      <c r="S166" s="45"/>
      <c r="T166" s="45"/>
      <c r="U166" s="45"/>
      <c r="V166" s="45"/>
      <c r="W166" s="49"/>
      <c r="X166" s="45"/>
      <c r="Y166" s="45"/>
      <c r="Z166" s="609"/>
      <c r="AA166" s="45"/>
      <c r="AB166" s="45"/>
      <c r="AC166" s="45"/>
      <c r="AD166" s="45"/>
      <c r="AE166" s="45"/>
      <c r="AF166" s="48"/>
      <c r="AG166" s="47"/>
      <c r="AH166" s="47"/>
      <c r="AI166" s="47"/>
      <c r="AJ166" s="47"/>
      <c r="AK166" s="124" t="n">
        <v>11</v>
      </c>
    </row>
    <row r="167" s="124" customFormat="true" ht="11.25" hidden="false" customHeight="true" outlineLevel="0" collapsed="false">
      <c r="A167" s="608"/>
      <c r="B167" s="608"/>
      <c r="C167" s="608"/>
      <c r="D167" s="608"/>
      <c r="E167" s="608"/>
      <c r="F167" s="49"/>
      <c r="G167" s="49"/>
      <c r="N167" s="45"/>
      <c r="P167" s="45"/>
      <c r="Q167" s="49"/>
      <c r="R167" s="49"/>
      <c r="S167" s="45"/>
      <c r="T167" s="45"/>
      <c r="U167" s="45"/>
      <c r="V167" s="45"/>
      <c r="W167" s="49"/>
      <c r="X167" s="45"/>
      <c r="Y167" s="45"/>
      <c r="Z167" s="609"/>
      <c r="AA167" s="45"/>
      <c r="AB167" s="45"/>
      <c r="AC167" s="45"/>
      <c r="AD167" s="45"/>
      <c r="AE167" s="45"/>
      <c r="AF167" s="48"/>
      <c r="AG167" s="47"/>
      <c r="AH167" s="47"/>
      <c r="AI167" s="47"/>
      <c r="AJ167" s="47"/>
      <c r="AK167" s="124" t="n">
        <v>11</v>
      </c>
    </row>
    <row r="168" s="124" customFormat="true" ht="11.25" hidden="false" customHeight="true" outlineLevel="0" collapsed="false">
      <c r="A168" s="608"/>
      <c r="B168" s="608"/>
      <c r="C168" s="608"/>
      <c r="D168" s="608"/>
      <c r="E168" s="608"/>
      <c r="F168" s="49"/>
      <c r="G168" s="49"/>
      <c r="N168" s="45"/>
      <c r="P168" s="45"/>
      <c r="Q168" s="49"/>
      <c r="R168" s="49"/>
      <c r="S168" s="45"/>
      <c r="T168" s="45"/>
      <c r="U168" s="45"/>
      <c r="V168" s="45"/>
      <c r="W168" s="49"/>
      <c r="X168" s="45"/>
      <c r="Y168" s="45"/>
      <c r="Z168" s="609"/>
      <c r="AA168" s="45"/>
      <c r="AB168" s="45"/>
      <c r="AC168" s="45"/>
      <c r="AD168" s="45"/>
      <c r="AE168" s="45"/>
      <c r="AF168" s="48"/>
      <c r="AG168" s="47"/>
      <c r="AH168" s="47"/>
      <c r="AI168" s="47"/>
      <c r="AJ168" s="47"/>
      <c r="AK168" s="124" t="n">
        <v>11</v>
      </c>
    </row>
    <row r="169" s="124" customFormat="true" ht="11.25" hidden="false" customHeight="true" outlineLevel="0" collapsed="false">
      <c r="A169" s="608"/>
      <c r="B169" s="608"/>
      <c r="C169" s="608"/>
      <c r="D169" s="608"/>
      <c r="E169" s="608"/>
      <c r="F169" s="49"/>
      <c r="G169" s="49"/>
      <c r="N169" s="45"/>
      <c r="P169" s="45"/>
      <c r="Q169" s="49"/>
      <c r="R169" s="49"/>
      <c r="S169" s="45"/>
      <c r="T169" s="45"/>
      <c r="U169" s="45"/>
      <c r="V169" s="45"/>
      <c r="W169" s="49"/>
      <c r="X169" s="45"/>
      <c r="Y169" s="45"/>
      <c r="Z169" s="609"/>
      <c r="AA169" s="45"/>
      <c r="AB169" s="45"/>
      <c r="AC169" s="45"/>
      <c r="AD169" s="45"/>
      <c r="AE169" s="45"/>
      <c r="AF169" s="48"/>
      <c r="AG169" s="47"/>
      <c r="AH169" s="47"/>
      <c r="AI169" s="47"/>
      <c r="AJ169" s="47"/>
      <c r="AK169" s="124" t="n">
        <v>11</v>
      </c>
    </row>
    <row r="170" s="124" customFormat="true" ht="11.25" hidden="false" customHeight="true" outlineLevel="0" collapsed="false">
      <c r="A170" s="608"/>
      <c r="B170" s="608"/>
      <c r="C170" s="608"/>
      <c r="D170" s="608"/>
      <c r="E170" s="608"/>
      <c r="F170" s="49"/>
      <c r="G170" s="49"/>
      <c r="N170" s="45"/>
      <c r="P170" s="45"/>
      <c r="Q170" s="49"/>
      <c r="R170" s="49"/>
      <c r="S170" s="45"/>
      <c r="T170" s="45"/>
      <c r="U170" s="45"/>
      <c r="V170" s="45"/>
      <c r="W170" s="49"/>
      <c r="X170" s="45"/>
      <c r="Y170" s="45"/>
      <c r="Z170" s="609"/>
      <c r="AA170" s="45"/>
      <c r="AB170" s="45"/>
      <c r="AC170" s="45"/>
      <c r="AD170" s="45"/>
      <c r="AE170" s="45"/>
      <c r="AF170" s="48"/>
      <c r="AG170" s="47"/>
      <c r="AH170" s="47"/>
      <c r="AI170" s="47"/>
      <c r="AJ170" s="47"/>
      <c r="AK170" s="124" t="n">
        <v>11</v>
      </c>
    </row>
    <row r="171" s="124" customFormat="true" ht="11.25" hidden="false" customHeight="true" outlineLevel="0" collapsed="false">
      <c r="A171" s="608"/>
      <c r="B171" s="608"/>
      <c r="C171" s="608"/>
      <c r="D171" s="608"/>
      <c r="E171" s="608"/>
      <c r="F171" s="49"/>
      <c r="G171" s="49"/>
      <c r="N171" s="45"/>
      <c r="P171" s="45"/>
      <c r="Q171" s="49"/>
      <c r="R171" s="49"/>
      <c r="S171" s="45"/>
      <c r="T171" s="45"/>
      <c r="U171" s="45"/>
      <c r="V171" s="45"/>
      <c r="W171" s="49"/>
      <c r="X171" s="45"/>
      <c r="Y171" s="45"/>
      <c r="Z171" s="609"/>
      <c r="AA171" s="45"/>
      <c r="AB171" s="45"/>
      <c r="AC171" s="45"/>
      <c r="AD171" s="45"/>
      <c r="AE171" s="45"/>
      <c r="AF171" s="48"/>
      <c r="AG171" s="47"/>
      <c r="AH171" s="47"/>
      <c r="AI171" s="47"/>
      <c r="AJ171" s="47"/>
      <c r="AK171" s="124" t="n">
        <v>11</v>
      </c>
    </row>
    <row r="172" s="124" customFormat="true" ht="11.25" hidden="false" customHeight="true" outlineLevel="0" collapsed="false">
      <c r="A172" s="608"/>
      <c r="B172" s="608"/>
      <c r="C172" s="608"/>
      <c r="D172" s="608"/>
      <c r="E172" s="608"/>
      <c r="F172" s="49"/>
      <c r="G172" s="49"/>
      <c r="N172" s="45"/>
      <c r="P172" s="45"/>
      <c r="Q172" s="49"/>
      <c r="R172" s="49"/>
      <c r="S172" s="45"/>
      <c r="T172" s="45"/>
      <c r="U172" s="45"/>
      <c r="V172" s="45"/>
      <c r="W172" s="49"/>
      <c r="X172" s="45"/>
      <c r="Y172" s="45"/>
      <c r="Z172" s="609"/>
      <c r="AA172" s="45"/>
      <c r="AB172" s="45"/>
      <c r="AC172" s="45"/>
      <c r="AD172" s="45"/>
      <c r="AE172" s="45"/>
      <c r="AF172" s="48"/>
      <c r="AG172" s="47"/>
      <c r="AH172" s="47"/>
      <c r="AI172" s="47"/>
      <c r="AJ172" s="47"/>
      <c r="AK172" s="124" t="n">
        <v>11</v>
      </c>
    </row>
    <row r="173" s="124" customFormat="true" ht="11.25" hidden="false" customHeight="true" outlineLevel="0" collapsed="false">
      <c r="A173" s="608"/>
      <c r="B173" s="608"/>
      <c r="C173" s="608"/>
      <c r="D173" s="608"/>
      <c r="E173" s="608"/>
      <c r="F173" s="49"/>
      <c r="G173" s="49"/>
      <c r="N173" s="45"/>
      <c r="P173" s="45"/>
      <c r="Q173" s="49"/>
      <c r="R173" s="49"/>
      <c r="S173" s="45"/>
      <c r="T173" s="45"/>
      <c r="U173" s="45"/>
      <c r="V173" s="45"/>
      <c r="W173" s="49"/>
      <c r="X173" s="45"/>
      <c r="Y173" s="45"/>
      <c r="Z173" s="609"/>
      <c r="AA173" s="45"/>
      <c r="AB173" s="45"/>
      <c r="AC173" s="45"/>
      <c r="AD173" s="45"/>
      <c r="AE173" s="45"/>
      <c r="AF173" s="48"/>
      <c r="AG173" s="47"/>
      <c r="AH173" s="47"/>
      <c r="AI173" s="47"/>
      <c r="AJ173" s="47"/>
      <c r="AK173" s="124" t="n">
        <v>11</v>
      </c>
    </row>
    <row r="174" s="124" customFormat="true" ht="11.25" hidden="false" customHeight="true" outlineLevel="0" collapsed="false">
      <c r="A174" s="608"/>
      <c r="B174" s="608"/>
      <c r="C174" s="608"/>
      <c r="D174" s="608"/>
      <c r="E174" s="608"/>
      <c r="F174" s="49"/>
      <c r="G174" s="49"/>
      <c r="N174" s="45"/>
      <c r="P174" s="45"/>
      <c r="Q174" s="49"/>
      <c r="R174" s="49"/>
      <c r="S174" s="45"/>
      <c r="T174" s="45"/>
      <c r="U174" s="45"/>
      <c r="V174" s="45"/>
      <c r="W174" s="49"/>
      <c r="X174" s="45"/>
      <c r="Y174" s="45"/>
      <c r="Z174" s="609"/>
      <c r="AA174" s="45"/>
      <c r="AB174" s="45"/>
      <c r="AC174" s="45"/>
      <c r="AD174" s="45"/>
      <c r="AE174" s="45"/>
      <c r="AF174" s="48"/>
      <c r="AG174" s="47"/>
      <c r="AH174" s="47"/>
      <c r="AI174" s="47"/>
      <c r="AJ174" s="47"/>
      <c r="AK174" s="124" t="n">
        <v>11</v>
      </c>
    </row>
    <row r="175" s="124" customFormat="true" ht="11.25" hidden="false" customHeight="true" outlineLevel="0" collapsed="false">
      <c r="A175" s="608"/>
      <c r="B175" s="608"/>
      <c r="C175" s="608"/>
      <c r="D175" s="608"/>
      <c r="E175" s="608"/>
      <c r="F175" s="49"/>
      <c r="G175" s="49"/>
      <c r="N175" s="45"/>
      <c r="P175" s="45"/>
      <c r="Q175" s="49"/>
      <c r="R175" s="49"/>
      <c r="S175" s="45"/>
      <c r="T175" s="45"/>
      <c r="U175" s="45"/>
      <c r="V175" s="45"/>
      <c r="W175" s="49"/>
      <c r="X175" s="45"/>
      <c r="Y175" s="45"/>
      <c r="Z175" s="609"/>
      <c r="AA175" s="45"/>
      <c r="AB175" s="45"/>
      <c r="AC175" s="45"/>
      <c r="AD175" s="45"/>
      <c r="AE175" s="45"/>
      <c r="AF175" s="48"/>
      <c r="AG175" s="47"/>
      <c r="AH175" s="47"/>
      <c r="AI175" s="47"/>
      <c r="AJ175" s="47"/>
      <c r="AK175" s="124" t="n">
        <v>11</v>
      </c>
    </row>
    <row r="176" s="124" customFormat="true" ht="11.25" hidden="false" customHeight="true" outlineLevel="0" collapsed="false">
      <c r="A176" s="608"/>
      <c r="B176" s="608"/>
      <c r="C176" s="608"/>
      <c r="D176" s="608"/>
      <c r="E176" s="608"/>
      <c r="F176" s="49"/>
      <c r="G176" s="49"/>
      <c r="N176" s="45"/>
      <c r="P176" s="45"/>
      <c r="Q176" s="49"/>
      <c r="R176" s="49"/>
      <c r="S176" s="45"/>
      <c r="T176" s="45"/>
      <c r="U176" s="45"/>
      <c r="V176" s="45"/>
      <c r="W176" s="49"/>
      <c r="X176" s="45"/>
      <c r="Y176" s="45"/>
      <c r="Z176" s="609"/>
      <c r="AA176" s="45"/>
      <c r="AB176" s="45"/>
      <c r="AC176" s="45"/>
      <c r="AD176" s="45"/>
      <c r="AE176" s="45"/>
      <c r="AF176" s="48"/>
      <c r="AG176" s="47"/>
      <c r="AH176" s="47"/>
      <c r="AI176" s="47"/>
      <c r="AJ176" s="47"/>
      <c r="AK176" s="124" t="n">
        <v>11</v>
      </c>
    </row>
    <row r="177" s="124" customFormat="true" ht="11.25" hidden="false" customHeight="true" outlineLevel="0" collapsed="false">
      <c r="A177" s="608"/>
      <c r="B177" s="608"/>
      <c r="C177" s="608"/>
      <c r="D177" s="608"/>
      <c r="E177" s="608"/>
      <c r="F177" s="49"/>
      <c r="G177" s="49"/>
      <c r="N177" s="45"/>
      <c r="P177" s="45"/>
      <c r="Q177" s="49"/>
      <c r="R177" s="49"/>
      <c r="S177" s="45"/>
      <c r="T177" s="45"/>
      <c r="U177" s="45"/>
      <c r="V177" s="45"/>
      <c r="W177" s="49"/>
      <c r="X177" s="45"/>
      <c r="Y177" s="45"/>
      <c r="Z177" s="609"/>
      <c r="AA177" s="45"/>
      <c r="AB177" s="45"/>
      <c r="AC177" s="45"/>
      <c r="AD177" s="45"/>
      <c r="AE177" s="45"/>
      <c r="AF177" s="48"/>
      <c r="AG177" s="47"/>
      <c r="AH177" s="47"/>
      <c r="AI177" s="47"/>
      <c r="AJ177" s="47"/>
      <c r="AK177" s="124" t="n">
        <v>11</v>
      </c>
    </row>
    <row r="178" s="124" customFormat="true" ht="11.25" hidden="false" customHeight="true" outlineLevel="0" collapsed="false">
      <c r="A178" s="608"/>
      <c r="B178" s="608"/>
      <c r="C178" s="608"/>
      <c r="D178" s="608"/>
      <c r="E178" s="608"/>
      <c r="F178" s="49"/>
      <c r="G178" s="49"/>
      <c r="N178" s="45"/>
      <c r="P178" s="45"/>
      <c r="Q178" s="49"/>
      <c r="R178" s="49"/>
      <c r="S178" s="45"/>
      <c r="T178" s="45"/>
      <c r="U178" s="45"/>
      <c r="V178" s="45"/>
      <c r="W178" s="49"/>
      <c r="X178" s="45"/>
      <c r="Y178" s="45"/>
      <c r="Z178" s="609"/>
      <c r="AA178" s="45"/>
      <c r="AB178" s="45"/>
      <c r="AC178" s="45"/>
      <c r="AD178" s="45"/>
      <c r="AE178" s="45"/>
      <c r="AF178" s="48"/>
      <c r="AG178" s="47"/>
      <c r="AH178" s="47"/>
      <c r="AI178" s="47"/>
      <c r="AJ178" s="47"/>
      <c r="AK178" s="124" t="n">
        <v>11</v>
      </c>
    </row>
    <row r="179" s="124" customFormat="true" ht="11.25" hidden="false" customHeight="true" outlineLevel="0" collapsed="false">
      <c r="A179" s="608"/>
      <c r="B179" s="608"/>
      <c r="C179" s="608"/>
      <c r="D179" s="608"/>
      <c r="E179" s="608"/>
      <c r="F179" s="49"/>
      <c r="G179" s="49"/>
      <c r="N179" s="45"/>
      <c r="P179" s="45"/>
      <c r="Q179" s="49"/>
      <c r="R179" s="49"/>
      <c r="S179" s="45"/>
      <c r="T179" s="45"/>
      <c r="U179" s="45"/>
      <c r="V179" s="45"/>
      <c r="W179" s="49"/>
      <c r="X179" s="45"/>
      <c r="Y179" s="45"/>
      <c r="Z179" s="609"/>
      <c r="AA179" s="45"/>
      <c r="AB179" s="45"/>
      <c r="AC179" s="45"/>
      <c r="AD179" s="45"/>
      <c r="AE179" s="45"/>
      <c r="AF179" s="48"/>
      <c r="AG179" s="47"/>
      <c r="AH179" s="47"/>
      <c r="AI179" s="47"/>
      <c r="AJ179" s="47"/>
      <c r="AK179" s="124" t="n">
        <v>11</v>
      </c>
    </row>
    <row r="180" s="124" customFormat="true" ht="11.25" hidden="false" customHeight="true" outlineLevel="0" collapsed="false">
      <c r="A180" s="608"/>
      <c r="B180" s="608"/>
      <c r="C180" s="608"/>
      <c r="D180" s="608"/>
      <c r="E180" s="608"/>
      <c r="F180" s="49"/>
      <c r="G180" s="49"/>
      <c r="N180" s="45"/>
      <c r="P180" s="45"/>
      <c r="Q180" s="49"/>
      <c r="R180" s="49"/>
      <c r="S180" s="45"/>
      <c r="T180" s="45"/>
      <c r="U180" s="45"/>
      <c r="V180" s="45"/>
      <c r="W180" s="49"/>
      <c r="X180" s="45"/>
      <c r="Y180" s="45"/>
      <c r="Z180" s="609"/>
      <c r="AA180" s="45"/>
      <c r="AB180" s="45"/>
      <c r="AC180" s="45"/>
      <c r="AD180" s="45"/>
      <c r="AE180" s="45"/>
      <c r="AF180" s="48"/>
      <c r="AG180" s="47"/>
      <c r="AH180" s="47"/>
      <c r="AI180" s="47"/>
      <c r="AJ180" s="47"/>
      <c r="AK180" s="124" t="n">
        <v>11</v>
      </c>
    </row>
    <row r="181" s="124" customFormat="true" ht="11.25" hidden="false" customHeight="true" outlineLevel="0" collapsed="false">
      <c r="A181" s="608"/>
      <c r="B181" s="608"/>
      <c r="C181" s="608"/>
      <c r="D181" s="608"/>
      <c r="E181" s="608"/>
      <c r="F181" s="49"/>
      <c r="G181" s="49"/>
      <c r="N181" s="45"/>
      <c r="P181" s="45"/>
      <c r="Q181" s="49"/>
      <c r="R181" s="49"/>
      <c r="S181" s="45"/>
      <c r="T181" s="45"/>
      <c r="U181" s="45"/>
      <c r="V181" s="45"/>
      <c r="W181" s="49"/>
      <c r="X181" s="45"/>
      <c r="Y181" s="45"/>
      <c r="Z181" s="609"/>
      <c r="AA181" s="45"/>
      <c r="AB181" s="45"/>
      <c r="AC181" s="45"/>
      <c r="AD181" s="45"/>
      <c r="AE181" s="45"/>
      <c r="AF181" s="48"/>
      <c r="AG181" s="47"/>
      <c r="AH181" s="47"/>
      <c r="AI181" s="47"/>
      <c r="AJ181" s="47"/>
      <c r="AK181" s="124" t="n">
        <v>11</v>
      </c>
    </row>
    <row r="182" s="124" customFormat="true" ht="11.25" hidden="false" customHeight="true" outlineLevel="0" collapsed="false">
      <c r="A182" s="608"/>
      <c r="B182" s="608"/>
      <c r="C182" s="608"/>
      <c r="D182" s="608"/>
      <c r="E182" s="608"/>
      <c r="F182" s="49"/>
      <c r="G182" s="49"/>
      <c r="N182" s="45"/>
      <c r="P182" s="45"/>
      <c r="Q182" s="49"/>
      <c r="R182" s="49"/>
      <c r="S182" s="45"/>
      <c r="T182" s="45"/>
      <c r="U182" s="45"/>
      <c r="V182" s="45"/>
      <c r="W182" s="49"/>
      <c r="X182" s="45"/>
      <c r="Y182" s="45"/>
      <c r="Z182" s="609"/>
      <c r="AA182" s="45"/>
      <c r="AB182" s="45"/>
      <c r="AC182" s="45"/>
      <c r="AD182" s="45"/>
      <c r="AE182" s="45"/>
      <c r="AF182" s="48"/>
      <c r="AG182" s="47"/>
      <c r="AH182" s="47"/>
      <c r="AI182" s="47"/>
      <c r="AJ182" s="47"/>
      <c r="AK182" s="124" t="n">
        <v>11</v>
      </c>
    </row>
    <row r="183" s="124" customFormat="true" ht="11.25" hidden="false" customHeight="true" outlineLevel="0" collapsed="false">
      <c r="A183" s="608"/>
      <c r="B183" s="608"/>
      <c r="C183" s="608"/>
      <c r="D183" s="608"/>
      <c r="E183" s="608"/>
      <c r="F183" s="49"/>
      <c r="G183" s="49"/>
      <c r="N183" s="45"/>
      <c r="P183" s="45"/>
      <c r="Q183" s="49"/>
      <c r="R183" s="49"/>
      <c r="S183" s="45"/>
      <c r="T183" s="45"/>
      <c r="U183" s="45"/>
      <c r="V183" s="45"/>
      <c r="W183" s="49"/>
      <c r="X183" s="45"/>
      <c r="Y183" s="45"/>
      <c r="Z183" s="609"/>
      <c r="AA183" s="45"/>
      <c r="AB183" s="45"/>
      <c r="AC183" s="45"/>
      <c r="AD183" s="45"/>
      <c r="AE183" s="45"/>
      <c r="AF183" s="48"/>
      <c r="AG183" s="47"/>
      <c r="AH183" s="47"/>
      <c r="AI183" s="47"/>
      <c r="AJ183" s="47"/>
      <c r="AK183" s="124" t="n">
        <v>11</v>
      </c>
    </row>
    <row r="184" s="124" customFormat="true" ht="11.25" hidden="false" customHeight="true" outlineLevel="0" collapsed="false">
      <c r="A184" s="608"/>
      <c r="B184" s="608"/>
      <c r="C184" s="608"/>
      <c r="D184" s="608"/>
      <c r="E184" s="608"/>
      <c r="F184" s="49"/>
      <c r="G184" s="49"/>
      <c r="N184" s="45"/>
      <c r="P184" s="45"/>
      <c r="Q184" s="49"/>
      <c r="R184" s="49"/>
      <c r="S184" s="45"/>
      <c r="T184" s="45"/>
      <c r="U184" s="45"/>
      <c r="V184" s="45"/>
      <c r="W184" s="49"/>
      <c r="X184" s="45"/>
      <c r="Y184" s="45"/>
      <c r="Z184" s="609"/>
      <c r="AA184" s="45"/>
      <c r="AB184" s="45"/>
      <c r="AC184" s="45"/>
      <c r="AD184" s="45"/>
      <c r="AE184" s="45"/>
      <c r="AF184" s="48"/>
      <c r="AG184" s="47"/>
      <c r="AH184" s="47"/>
      <c r="AI184" s="47"/>
      <c r="AJ184" s="47"/>
      <c r="AK184" s="124" t="n">
        <v>11</v>
      </c>
    </row>
    <row r="185" s="124" customFormat="true" ht="11.25" hidden="false" customHeight="true" outlineLevel="0" collapsed="false">
      <c r="A185" s="608"/>
      <c r="B185" s="608"/>
      <c r="C185" s="608"/>
      <c r="D185" s="608"/>
      <c r="E185" s="608"/>
      <c r="F185" s="49"/>
      <c r="G185" s="49"/>
      <c r="N185" s="45"/>
      <c r="P185" s="45"/>
      <c r="Q185" s="49"/>
      <c r="R185" s="49"/>
      <c r="S185" s="45"/>
      <c r="T185" s="45"/>
      <c r="U185" s="45"/>
      <c r="V185" s="45"/>
      <c r="W185" s="49"/>
      <c r="X185" s="45"/>
      <c r="Y185" s="45"/>
      <c r="Z185" s="609"/>
      <c r="AA185" s="45"/>
      <c r="AB185" s="45"/>
      <c r="AC185" s="45"/>
      <c r="AD185" s="45"/>
      <c r="AE185" s="45"/>
      <c r="AF185" s="48"/>
      <c r="AG185" s="47"/>
      <c r="AH185" s="47"/>
      <c r="AI185" s="47"/>
      <c r="AJ185" s="47"/>
      <c r="AK185" s="124" t="n">
        <v>11</v>
      </c>
    </row>
    <row r="186" s="124" customFormat="true" ht="11.25" hidden="false" customHeight="true" outlineLevel="0" collapsed="false">
      <c r="A186" s="608"/>
      <c r="B186" s="608"/>
      <c r="C186" s="608"/>
      <c r="D186" s="608"/>
      <c r="E186" s="608"/>
      <c r="F186" s="49"/>
      <c r="G186" s="49"/>
      <c r="N186" s="45"/>
      <c r="P186" s="45"/>
      <c r="Q186" s="49"/>
      <c r="R186" s="49"/>
      <c r="S186" s="45"/>
      <c r="T186" s="45"/>
      <c r="U186" s="45"/>
      <c r="V186" s="45"/>
      <c r="W186" s="49"/>
      <c r="X186" s="45"/>
      <c r="Y186" s="45"/>
      <c r="Z186" s="609"/>
      <c r="AA186" s="45"/>
      <c r="AB186" s="45"/>
      <c r="AC186" s="45"/>
      <c r="AD186" s="45"/>
      <c r="AE186" s="45"/>
      <c r="AF186" s="48"/>
      <c r="AG186" s="47"/>
      <c r="AH186" s="47"/>
      <c r="AI186" s="47"/>
      <c r="AJ186" s="47"/>
      <c r="AK186" s="124" t="n">
        <v>11</v>
      </c>
    </row>
    <row r="187" s="124" customFormat="true" ht="11.25" hidden="false" customHeight="true" outlineLevel="0" collapsed="false">
      <c r="A187" s="608"/>
      <c r="B187" s="608"/>
      <c r="C187" s="608"/>
      <c r="D187" s="608"/>
      <c r="E187" s="608"/>
      <c r="F187" s="49"/>
      <c r="G187" s="49"/>
      <c r="N187" s="45"/>
      <c r="P187" s="45"/>
      <c r="Q187" s="49"/>
      <c r="R187" s="49"/>
      <c r="S187" s="45"/>
      <c r="T187" s="45"/>
      <c r="U187" s="45"/>
      <c r="V187" s="45"/>
      <c r="W187" s="49"/>
      <c r="X187" s="45"/>
      <c r="Y187" s="45"/>
      <c r="Z187" s="609"/>
      <c r="AA187" s="45"/>
      <c r="AB187" s="45"/>
      <c r="AC187" s="45"/>
      <c r="AD187" s="45"/>
      <c r="AE187" s="45"/>
      <c r="AF187" s="48"/>
      <c r="AG187" s="47"/>
      <c r="AH187" s="47"/>
      <c r="AI187" s="47"/>
      <c r="AJ187" s="47"/>
      <c r="AK187" s="124" t="n">
        <v>11</v>
      </c>
    </row>
    <row r="188" s="124" customFormat="true" ht="11.25" hidden="false" customHeight="true" outlineLevel="0" collapsed="false">
      <c r="A188" s="608"/>
      <c r="B188" s="608"/>
      <c r="C188" s="608"/>
      <c r="D188" s="608"/>
      <c r="E188" s="608"/>
      <c r="F188" s="49"/>
      <c r="G188" s="49"/>
      <c r="N188" s="45"/>
      <c r="P188" s="45"/>
      <c r="Q188" s="49"/>
      <c r="R188" s="49"/>
      <c r="S188" s="45"/>
      <c r="T188" s="45"/>
      <c r="U188" s="45"/>
      <c r="V188" s="45"/>
      <c r="W188" s="49"/>
      <c r="X188" s="45"/>
      <c r="Y188" s="45"/>
      <c r="Z188" s="609"/>
      <c r="AA188" s="45"/>
      <c r="AB188" s="45"/>
      <c r="AC188" s="45"/>
      <c r="AD188" s="45"/>
      <c r="AE188" s="45"/>
      <c r="AF188" s="48"/>
      <c r="AG188" s="47"/>
      <c r="AH188" s="47"/>
      <c r="AI188" s="47"/>
      <c r="AJ188" s="47"/>
      <c r="AK188" s="124" t="n">
        <v>11</v>
      </c>
    </row>
    <row r="189" s="124" customFormat="true" ht="11.25" hidden="false" customHeight="true" outlineLevel="0" collapsed="false">
      <c r="A189" s="608"/>
      <c r="B189" s="608"/>
      <c r="C189" s="608"/>
      <c r="D189" s="608"/>
      <c r="E189" s="608"/>
      <c r="F189" s="49"/>
      <c r="G189" s="49"/>
      <c r="N189" s="45"/>
      <c r="P189" s="45"/>
      <c r="Q189" s="49"/>
      <c r="R189" s="49"/>
      <c r="S189" s="45"/>
      <c r="T189" s="45"/>
      <c r="U189" s="45"/>
      <c r="V189" s="45"/>
      <c r="W189" s="49"/>
      <c r="X189" s="45"/>
      <c r="Y189" s="45"/>
      <c r="Z189" s="609"/>
      <c r="AA189" s="45"/>
      <c r="AB189" s="45"/>
      <c r="AC189" s="45"/>
      <c r="AD189" s="45"/>
      <c r="AE189" s="45"/>
      <c r="AF189" s="48"/>
      <c r="AG189" s="47"/>
      <c r="AH189" s="47"/>
      <c r="AI189" s="47"/>
      <c r="AJ189" s="47"/>
      <c r="AK189" s="124" t="n">
        <v>11</v>
      </c>
    </row>
    <row r="190" customFormat="false" ht="11.25" hidden="false" customHeight="true" outlineLevel="0" collapsed="false">
      <c r="AK190" s="42" t="n">
        <v>11</v>
      </c>
    </row>
    <row r="191" customFormat="false" ht="11.25" hidden="false" customHeight="true" outlineLevel="0" collapsed="false">
      <c r="AK191" s="42" t="n">
        <v>11</v>
      </c>
    </row>
    <row r="192" customFormat="false" ht="11.25" hidden="false" customHeight="true" outlineLevel="0" collapsed="false">
      <c r="AK192" s="42" t="n">
        <v>11</v>
      </c>
    </row>
    <row r="193" customFormat="false" ht="11.25" hidden="false" customHeight="true" outlineLevel="0" collapsed="false">
      <c r="A193" s="679"/>
      <c r="B193" s="679"/>
      <c r="C193" s="679"/>
      <c r="D193" s="679"/>
      <c r="E193" s="679"/>
      <c r="F193" s="42"/>
      <c r="N193" s="42"/>
      <c r="P193" s="42"/>
      <c r="S193" s="42"/>
      <c r="T193" s="42"/>
      <c r="U193" s="42"/>
      <c r="V193" s="42"/>
      <c r="X193" s="42"/>
      <c r="Y193" s="42"/>
      <c r="Z193" s="42"/>
      <c r="AA193" s="42"/>
      <c r="AB193" s="42"/>
      <c r="AC193" s="42"/>
      <c r="AD193" s="42"/>
      <c r="AE193" s="42"/>
      <c r="AF193" s="42"/>
      <c r="AG193" s="42"/>
      <c r="AH193" s="42"/>
      <c r="AI193" s="42"/>
      <c r="AJ193" s="42"/>
      <c r="AK193" s="42" t="n">
        <v>11</v>
      </c>
    </row>
    <row r="194" customFormat="false" ht="11.25" hidden="false" customHeight="true" outlineLevel="0" collapsed="false">
      <c r="A194" s="679"/>
      <c r="B194" s="679"/>
      <c r="C194" s="679"/>
      <c r="D194" s="679"/>
      <c r="E194" s="679"/>
      <c r="F194" s="42"/>
      <c r="N194" s="42"/>
      <c r="P194" s="42"/>
      <c r="S194" s="42"/>
      <c r="T194" s="42"/>
      <c r="U194" s="42"/>
      <c r="V194" s="42"/>
      <c r="X194" s="42"/>
      <c r="Y194" s="42"/>
      <c r="Z194" s="42"/>
      <c r="AA194" s="42"/>
      <c r="AB194" s="42"/>
      <c r="AC194" s="42"/>
      <c r="AD194" s="42"/>
      <c r="AE194" s="42"/>
      <c r="AF194" s="42"/>
      <c r="AG194" s="42"/>
      <c r="AH194" s="42"/>
      <c r="AI194" s="42"/>
      <c r="AJ194" s="42"/>
      <c r="AK194" s="42" t="n">
        <v>11</v>
      </c>
    </row>
    <row r="195" customFormat="false" ht="11.25" hidden="false" customHeight="true" outlineLevel="0" collapsed="false">
      <c r="A195" s="679"/>
      <c r="B195" s="679"/>
      <c r="C195" s="679"/>
      <c r="D195" s="679"/>
      <c r="E195" s="679"/>
      <c r="F195" s="42"/>
      <c r="N195" s="42"/>
      <c r="P195" s="42"/>
      <c r="S195" s="42"/>
      <c r="T195" s="42"/>
      <c r="U195" s="42"/>
      <c r="V195" s="42"/>
      <c r="X195" s="42"/>
      <c r="Y195" s="42"/>
      <c r="Z195" s="42"/>
      <c r="AA195" s="42"/>
      <c r="AB195" s="42"/>
      <c r="AC195" s="42"/>
      <c r="AD195" s="42"/>
      <c r="AE195" s="42"/>
      <c r="AF195" s="42"/>
      <c r="AG195" s="42"/>
      <c r="AH195" s="42"/>
      <c r="AI195" s="42"/>
      <c r="AJ195" s="42"/>
      <c r="AK195" s="42" t="n">
        <v>11</v>
      </c>
    </row>
    <row r="196" customFormat="false" ht="11.25" hidden="false" customHeight="true" outlineLevel="0" collapsed="false">
      <c r="A196" s="679"/>
      <c r="B196" s="679"/>
      <c r="C196" s="679"/>
      <c r="D196" s="679"/>
      <c r="E196" s="679"/>
      <c r="F196" s="42"/>
      <c r="N196" s="42"/>
      <c r="P196" s="42"/>
      <c r="S196" s="42"/>
      <c r="T196" s="42"/>
      <c r="U196" s="42"/>
      <c r="V196" s="42"/>
      <c r="X196" s="42"/>
      <c r="Y196" s="42"/>
      <c r="Z196" s="42"/>
      <c r="AA196" s="42"/>
      <c r="AB196" s="42"/>
      <c r="AC196" s="42"/>
      <c r="AD196" s="42"/>
      <c r="AE196" s="42"/>
      <c r="AF196" s="42"/>
      <c r="AG196" s="42"/>
      <c r="AH196" s="42"/>
      <c r="AI196" s="42"/>
      <c r="AJ196" s="42"/>
      <c r="AK196" s="42" t="n">
        <v>11</v>
      </c>
    </row>
    <row r="197" customFormat="false" ht="11.25" hidden="false" customHeight="true" outlineLevel="0" collapsed="false">
      <c r="A197" s="679"/>
      <c r="B197" s="679"/>
      <c r="C197" s="679"/>
      <c r="D197" s="679"/>
      <c r="E197" s="679"/>
      <c r="F197" s="42"/>
      <c r="N197" s="42"/>
      <c r="P197" s="42"/>
      <c r="S197" s="42"/>
      <c r="T197" s="42"/>
      <c r="U197" s="42"/>
      <c r="V197" s="42"/>
      <c r="X197" s="42"/>
      <c r="Y197" s="42"/>
      <c r="Z197" s="42"/>
      <c r="AA197" s="42"/>
      <c r="AB197" s="42"/>
      <c r="AC197" s="42"/>
      <c r="AD197" s="42"/>
      <c r="AE197" s="42"/>
      <c r="AF197" s="42"/>
      <c r="AG197" s="42"/>
      <c r="AH197" s="42"/>
      <c r="AI197" s="42"/>
      <c r="AJ197" s="42"/>
      <c r="AK197" s="42" t="n">
        <v>11</v>
      </c>
    </row>
    <row r="198" customFormat="false" ht="11.25" hidden="false" customHeight="true" outlineLevel="0" collapsed="false">
      <c r="A198" s="679"/>
      <c r="B198" s="679"/>
      <c r="C198" s="679"/>
      <c r="D198" s="679"/>
      <c r="E198" s="679"/>
      <c r="F198" s="42"/>
      <c r="N198" s="42"/>
      <c r="P198" s="42"/>
      <c r="S198" s="42"/>
      <c r="T198" s="42"/>
      <c r="U198" s="42"/>
      <c r="V198" s="42"/>
      <c r="X198" s="42"/>
      <c r="Y198" s="42"/>
      <c r="Z198" s="42"/>
      <c r="AA198" s="42"/>
      <c r="AB198" s="42"/>
      <c r="AC198" s="42"/>
      <c r="AD198" s="42"/>
      <c r="AE198" s="42"/>
      <c r="AF198" s="42"/>
      <c r="AG198" s="42"/>
      <c r="AH198" s="42"/>
      <c r="AI198" s="42"/>
      <c r="AJ198" s="42"/>
      <c r="AK198" s="42" t="n">
        <v>11</v>
      </c>
    </row>
    <row r="199" customFormat="false" ht="11.25" hidden="false" customHeight="true" outlineLevel="0" collapsed="false">
      <c r="A199" s="679"/>
      <c r="B199" s="679"/>
      <c r="C199" s="679"/>
      <c r="D199" s="679"/>
      <c r="E199" s="679"/>
      <c r="F199" s="42"/>
      <c r="N199" s="42"/>
      <c r="P199" s="42"/>
      <c r="S199" s="42"/>
      <c r="T199" s="42"/>
      <c r="U199" s="42"/>
      <c r="V199" s="42"/>
      <c r="X199" s="42"/>
      <c r="Y199" s="42"/>
      <c r="Z199" s="42"/>
      <c r="AA199" s="42"/>
      <c r="AB199" s="42"/>
      <c r="AC199" s="42"/>
      <c r="AD199" s="42"/>
      <c r="AE199" s="42"/>
      <c r="AF199" s="42"/>
      <c r="AG199" s="42"/>
      <c r="AH199" s="42"/>
      <c r="AI199" s="42"/>
      <c r="AJ199" s="42"/>
      <c r="AK199" s="42" t="n">
        <v>11</v>
      </c>
    </row>
    <row r="200" customFormat="false" ht="11.25" hidden="false" customHeight="true" outlineLevel="0" collapsed="false">
      <c r="A200" s="679"/>
      <c r="B200" s="679"/>
      <c r="C200" s="679"/>
      <c r="D200" s="679"/>
      <c r="E200" s="679"/>
      <c r="F200" s="42"/>
      <c r="N200" s="42"/>
      <c r="P200" s="42"/>
      <c r="S200" s="42"/>
      <c r="T200" s="42"/>
      <c r="U200" s="42"/>
      <c r="V200" s="42"/>
      <c r="X200" s="42"/>
      <c r="Y200" s="42"/>
      <c r="Z200" s="42"/>
      <c r="AA200" s="42"/>
      <c r="AB200" s="42"/>
      <c r="AC200" s="42"/>
      <c r="AD200" s="42"/>
      <c r="AE200" s="42"/>
      <c r="AF200" s="42"/>
      <c r="AG200" s="42"/>
      <c r="AH200" s="42"/>
      <c r="AI200" s="42"/>
      <c r="AJ200" s="42"/>
      <c r="AK200" s="42" t="n">
        <v>11</v>
      </c>
    </row>
    <row r="201" customFormat="false" ht="11.25" hidden="false" customHeight="true" outlineLevel="0" collapsed="false">
      <c r="A201" s="679"/>
      <c r="B201" s="679"/>
      <c r="C201" s="679"/>
      <c r="D201" s="679"/>
      <c r="E201" s="679"/>
      <c r="F201" s="42"/>
      <c r="N201" s="42"/>
      <c r="P201" s="42"/>
      <c r="S201" s="42"/>
      <c r="T201" s="42"/>
      <c r="U201" s="42"/>
      <c r="V201" s="42"/>
      <c r="X201" s="42"/>
      <c r="Y201" s="42"/>
      <c r="Z201" s="42"/>
      <c r="AA201" s="42"/>
      <c r="AB201" s="42"/>
      <c r="AC201" s="42"/>
      <c r="AD201" s="42"/>
      <c r="AE201" s="42"/>
      <c r="AF201" s="42"/>
      <c r="AG201" s="42"/>
      <c r="AH201" s="42"/>
      <c r="AI201" s="42"/>
      <c r="AJ201" s="42"/>
      <c r="AK201" s="42" t="n">
        <v>11</v>
      </c>
    </row>
    <row r="202" customFormat="false" ht="11.25" hidden="false" customHeight="true" outlineLevel="0" collapsed="false">
      <c r="A202" s="679"/>
      <c r="B202" s="679"/>
      <c r="C202" s="679"/>
      <c r="D202" s="679"/>
      <c r="E202" s="679"/>
      <c r="F202" s="42"/>
      <c r="N202" s="42"/>
      <c r="P202" s="42"/>
      <c r="S202" s="42"/>
      <c r="T202" s="42"/>
      <c r="U202" s="42"/>
      <c r="V202" s="42"/>
      <c r="X202" s="42"/>
      <c r="Y202" s="42"/>
      <c r="Z202" s="42"/>
      <c r="AA202" s="42"/>
      <c r="AB202" s="42"/>
      <c r="AC202" s="42"/>
      <c r="AD202" s="42"/>
      <c r="AE202" s="42"/>
      <c r="AF202" s="42"/>
      <c r="AG202" s="42"/>
      <c r="AH202" s="42"/>
      <c r="AI202" s="42"/>
      <c r="AJ202" s="42"/>
      <c r="AK202" s="42" t="n">
        <v>11</v>
      </c>
    </row>
    <row r="203" customFormat="false" ht="11.25" hidden="false" customHeight="true" outlineLevel="0" collapsed="false">
      <c r="A203" s="679"/>
      <c r="B203" s="679"/>
      <c r="C203" s="679"/>
      <c r="D203" s="679"/>
      <c r="E203" s="679"/>
      <c r="F203" s="42"/>
      <c r="N203" s="42"/>
      <c r="P203" s="42"/>
      <c r="S203" s="42"/>
      <c r="T203" s="42"/>
      <c r="U203" s="42"/>
      <c r="V203" s="42"/>
      <c r="X203" s="42"/>
      <c r="Y203" s="42"/>
      <c r="Z203" s="42"/>
      <c r="AA203" s="42"/>
      <c r="AB203" s="42"/>
      <c r="AC203" s="42"/>
      <c r="AD203" s="42"/>
      <c r="AE203" s="42"/>
      <c r="AF203" s="42"/>
      <c r="AG203" s="42"/>
      <c r="AH203" s="42"/>
      <c r="AI203" s="42"/>
      <c r="AJ203" s="42"/>
      <c r="AK203" s="42" t="n">
        <v>11</v>
      </c>
    </row>
    <row r="204" customFormat="false" ht="12.75" hidden="true" customHeight="true" outlineLevel="0" collapsed="false">
      <c r="A204" s="608" t="s">
        <v>80</v>
      </c>
      <c r="B204" s="608" t="s">
        <v>148</v>
      </c>
      <c r="C204" s="608" t="s">
        <v>148</v>
      </c>
      <c r="D204" s="608" t="s">
        <v>148</v>
      </c>
      <c r="E204" s="608" t="s">
        <v>148</v>
      </c>
      <c r="F204" s="42" t="n">
        <v>16</v>
      </c>
      <c r="G204" s="49" t="n">
        <v>0</v>
      </c>
      <c r="H204" s="42" t="n">
        <v>3</v>
      </c>
      <c r="I204" s="42" t="n">
        <v>7</v>
      </c>
      <c r="J204" s="42" t="n">
        <v>56</v>
      </c>
      <c r="K204" s="42" t="n">
        <v>10</v>
      </c>
      <c r="L204" s="42" t="n">
        <v>40</v>
      </c>
      <c r="M204" s="42" t="n">
        <v>40</v>
      </c>
      <c r="N204" s="45" t="n">
        <v>9</v>
      </c>
      <c r="O204" s="42" t="n">
        <v>102</v>
      </c>
      <c r="P204" s="45" t="n">
        <v>9</v>
      </c>
      <c r="Q204" s="49" t="n">
        <v>5</v>
      </c>
      <c r="R204" s="49" t="n">
        <v>3</v>
      </c>
      <c r="S204" s="45" t="n">
        <v>3</v>
      </c>
      <c r="T204" s="45" t="n">
        <v>3</v>
      </c>
      <c r="U204" s="45" t="n">
        <v>3</v>
      </c>
      <c r="V204" s="45" t="n">
        <v>3</v>
      </c>
      <c r="W204" s="49" t="n">
        <v>10</v>
      </c>
      <c r="X204" s="45" t="n">
        <v>34</v>
      </c>
      <c r="Y204" s="45" t="n">
        <v>9</v>
      </c>
      <c r="Z204" s="609" t="n">
        <v>8</v>
      </c>
      <c r="AA204" s="45" t="n">
        <v>8</v>
      </c>
      <c r="AB204" s="45" t="n">
        <v>8</v>
      </c>
      <c r="AC204" s="45" t="n">
        <v>8</v>
      </c>
      <c r="AD204" s="45" t="n">
        <v>8</v>
      </c>
      <c r="AE204" s="45" t="n">
        <v>8</v>
      </c>
      <c r="AF204" s="48" t="n">
        <v>8</v>
      </c>
      <c r="AG204" s="48" t="n">
        <v>8</v>
      </c>
      <c r="AH204" s="48" t="n">
        <v>8</v>
      </c>
      <c r="AI204" s="48" t="n">
        <v>8</v>
      </c>
      <c r="AJ204" s="48" t="n">
        <v>8</v>
      </c>
      <c r="AK204" s="42" t="n">
        <v>11</v>
      </c>
    </row>
  </sheetData>
  <mergeCells count="7">
    <mergeCell ref="I6:M6"/>
    <mergeCell ref="I7:M7"/>
    <mergeCell ref="J10:K10"/>
    <mergeCell ref="O10:O14"/>
    <mergeCell ref="J11:K11"/>
    <mergeCell ref="J12:K12"/>
    <mergeCell ref="I13:K13"/>
  </mergeCells>
  <dataValidations count="4">
    <dataValidation allowBlank="true" error="Допускается ввод только неотрицательных чисел!" errorStyle="stop" errorTitle="Ошибка" operator="between" showDropDown="false" showErrorMessage="true" showInputMessage="false" sqref="L2:M2 L16:M16 L19:M29 L32:M33"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L30:M31" type="whole">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15:M15 L34:M34" type="textLength">
      <formula1>900</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L17:M17"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W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4" min="1" style="42" width="10.57"/>
    <col collapsed="false" customWidth="true" hidden="true" outlineLevel="0" max="5" min="5" style="52" width="9.15"/>
    <col collapsed="false" customWidth="true" hidden="true" outlineLevel="0" max="7" min="6" style="45" width="9.15"/>
    <col collapsed="false" customWidth="true" hidden="false" outlineLevel="0" max="8" min="8" style="416" width="3"/>
    <col collapsed="false" customWidth="true" hidden="false" outlineLevel="0" max="9" min="9" style="42" width="6"/>
    <col collapsed="false" customWidth="true" hidden="false" outlineLevel="0" max="10" min="10" style="42" width="63"/>
    <col collapsed="false" customWidth="true" hidden="false" outlineLevel="0" max="11" min="11" style="42" width="9"/>
    <col collapsed="false" customWidth="true" hidden="false" outlineLevel="0" max="12" min="12" style="42" width="39"/>
    <col collapsed="false" customWidth="true" hidden="false" outlineLevel="0" max="13" min="13" style="42" width="89"/>
    <col collapsed="false" customWidth="true" hidden="false" outlineLevel="0" max="14" min="14" style="42" width="10"/>
    <col collapsed="false" customWidth="true" hidden="false" outlineLevel="0" max="16" min="15" style="122" width="10"/>
    <col collapsed="false" customWidth="true" hidden="false" outlineLevel="0" max="22" min="17" style="42" width="10"/>
    <col collapsed="false" customWidth="false" hidden="true" outlineLevel="0" max="23" min="23" style="42" width="10.57"/>
  </cols>
  <sheetData>
    <row r="1" customFormat="false" ht="22.5" hidden="true" customHeight="true" outlineLevel="0" collapsed="false">
      <c r="S1" s="724"/>
      <c r="T1" s="724"/>
      <c r="V1" s="724"/>
      <c r="W1" s="42" t="s">
        <v>14</v>
      </c>
    </row>
    <row r="2" customFormat="false" ht="22.5" hidden="true" customHeight="true" outlineLevel="0" collapsed="false">
      <c r="B2" s="704" t="s">
        <v>684</v>
      </c>
      <c r="C2" s="704" t="s">
        <v>685</v>
      </c>
      <c r="D2" s="705" t="s">
        <v>624</v>
      </c>
      <c r="E2" s="706" t="n">
        <f aca="false">I2-3</f>
        <v>-3</v>
      </c>
      <c r="F2" s="706" t="n">
        <f aca="false">J2</f>
        <v>0</v>
      </c>
      <c r="H2" s="725" t="s">
        <v>686</v>
      </c>
      <c r="I2" s="293"/>
      <c r="J2" s="329"/>
      <c r="K2" s="719" t="s">
        <v>303</v>
      </c>
      <c r="L2" s="408"/>
      <c r="M2" s="726"/>
      <c r="N2" s="122"/>
      <c r="P2" s="42"/>
      <c r="W2" s="42" t="n">
        <v>0</v>
      </c>
    </row>
    <row r="3" customFormat="false" ht="14.25" hidden="true" customHeight="true" outlineLevel="0" collapsed="false">
      <c r="W3" s="42" t="n">
        <v>0</v>
      </c>
    </row>
    <row r="4" customFormat="false" ht="6" hidden="false" customHeight="true" outlineLevel="0" collapsed="false">
      <c r="H4" s="470"/>
      <c r="I4" s="83"/>
      <c r="J4" s="83"/>
      <c r="K4" s="83"/>
      <c r="L4" s="727"/>
      <c r="M4" s="727"/>
      <c r="W4" s="42" t="n">
        <v>6</v>
      </c>
    </row>
    <row r="5" customFormat="false" ht="50.25" hidden="false" customHeight="true" outlineLevel="0" collapsed="false">
      <c r="H5" s="470"/>
      <c r="I5" s="389" t="s">
        <v>687</v>
      </c>
      <c r="J5" s="389"/>
      <c r="K5" s="389"/>
      <c r="L5" s="389"/>
      <c r="M5" s="216"/>
      <c r="W5" s="42" t="n">
        <v>48</v>
      </c>
    </row>
    <row r="6" customFormat="false" ht="18" hidden="false" customHeight="true" outlineLevel="0" collapsed="false">
      <c r="H6" s="470"/>
      <c r="I6" s="259" t="str">
        <f aca="false">IF(org=0,"Не определено",org)</f>
        <v>Филиал ПАО "ОГК-2" - Серовская ГРЭС, г. Серов</v>
      </c>
      <c r="J6" s="259"/>
      <c r="K6" s="259"/>
      <c r="L6" s="259"/>
      <c r="M6" s="216"/>
      <c r="W6" s="42" t="n">
        <v>17</v>
      </c>
    </row>
    <row r="7" customFormat="false" ht="14.25" hidden="false" customHeight="true" outlineLevel="0" collapsed="false">
      <c r="H7" s="470"/>
      <c r="I7" s="83"/>
      <c r="J7" s="74"/>
      <c r="K7" s="74"/>
      <c r="L7" s="290"/>
      <c r="M7" s="728"/>
      <c r="W7" s="42" t="n">
        <v>14</v>
      </c>
    </row>
    <row r="8" customFormat="false" ht="14.25" hidden="false" customHeight="true" outlineLevel="0" collapsed="false">
      <c r="H8" s="470"/>
      <c r="I8" s="395" t="s">
        <v>297</v>
      </c>
      <c r="J8" s="395"/>
      <c r="K8" s="395"/>
      <c r="L8" s="395"/>
      <c r="M8" s="729" t="s">
        <v>298</v>
      </c>
      <c r="W8" s="42" t="n">
        <v>14</v>
      </c>
    </row>
    <row r="9" customFormat="false" ht="35.25" hidden="false" customHeight="true" outlineLevel="0" collapsed="false">
      <c r="E9" s="707" t="s">
        <v>615</v>
      </c>
      <c r="F9" s="707" t="s">
        <v>621</v>
      </c>
      <c r="H9" s="470"/>
      <c r="I9" s="395" t="s">
        <v>86</v>
      </c>
      <c r="J9" s="220" t="s">
        <v>299</v>
      </c>
      <c r="K9" s="360" t="s">
        <v>563</v>
      </c>
      <c r="L9" s="220" t="s">
        <v>300</v>
      </c>
      <c r="M9" s="729"/>
      <c r="W9" s="42" t="n">
        <v>34</v>
      </c>
    </row>
    <row r="10" customFormat="false" ht="35.25" hidden="false" customHeight="true" outlineLevel="0" collapsed="false">
      <c r="B10" s="704" t="s">
        <v>688</v>
      </c>
      <c r="C10" s="704" t="s">
        <v>689</v>
      </c>
      <c r="D10" s="705" t="s">
        <v>624</v>
      </c>
      <c r="E10" s="706" t="s">
        <v>625</v>
      </c>
      <c r="F10" s="706" t="s">
        <v>625</v>
      </c>
      <c r="H10" s="470"/>
      <c r="I10" s="293" t="s">
        <v>107</v>
      </c>
      <c r="J10" s="379" t="s">
        <v>690</v>
      </c>
      <c r="K10" s="719" t="s">
        <v>303</v>
      </c>
      <c r="L10" s="662"/>
      <c r="M10" s="726" t="s">
        <v>691</v>
      </c>
      <c r="W10" s="42" t="n">
        <v>34</v>
      </c>
    </row>
    <row r="11" customFormat="false" ht="50.25" hidden="false" customHeight="true" outlineLevel="0" collapsed="false">
      <c r="B11" s="704" t="s">
        <v>692</v>
      </c>
      <c r="C11" s="704" t="s">
        <v>693</v>
      </c>
      <c r="D11" s="705" t="s">
        <v>624</v>
      </c>
      <c r="E11" s="706" t="s">
        <v>625</v>
      </c>
      <c r="F11" s="706" t="s">
        <v>625</v>
      </c>
      <c r="H11" s="470"/>
      <c r="I11" s="293" t="s">
        <v>108</v>
      </c>
      <c r="J11" s="379" t="s">
        <v>694</v>
      </c>
      <c r="K11" s="719" t="s">
        <v>303</v>
      </c>
      <c r="L11" s="662"/>
      <c r="M11" s="726" t="s">
        <v>691</v>
      </c>
      <c r="W11" s="42" t="n">
        <v>48</v>
      </c>
    </row>
    <row r="12" customFormat="false" ht="48" hidden="false" customHeight="true" outlineLevel="0" collapsed="false">
      <c r="B12" s="704" t="s">
        <v>695</v>
      </c>
      <c r="C12" s="704" t="s">
        <v>696</v>
      </c>
      <c r="D12" s="705" t="s">
        <v>624</v>
      </c>
      <c r="E12" s="706" t="s">
        <v>625</v>
      </c>
      <c r="F12" s="706" t="s">
        <v>625</v>
      </c>
      <c r="H12" s="328"/>
      <c r="I12" s="293" t="s">
        <v>88</v>
      </c>
      <c r="J12" s="730" t="s">
        <v>697</v>
      </c>
      <c r="K12" s="719" t="s">
        <v>303</v>
      </c>
      <c r="L12" s="662"/>
      <c r="M12" s="726" t="s">
        <v>698</v>
      </c>
      <c r="N12" s="122"/>
      <c r="P12" s="42"/>
      <c r="W12" s="42" t="n">
        <v>46</v>
      </c>
    </row>
    <row r="13" customFormat="false" ht="14.25" hidden="false" customHeight="true" outlineLevel="0" collapsed="false">
      <c r="E13" s="136"/>
      <c r="H13" s="470"/>
      <c r="I13" s="731"/>
      <c r="J13" s="170" t="s">
        <v>699</v>
      </c>
      <c r="K13" s="214"/>
      <c r="L13" s="732"/>
      <c r="M13" s="726"/>
      <c r="W13" s="42" t="n">
        <v>14</v>
      </c>
    </row>
    <row r="14" customFormat="false" ht="14.25" hidden="false" customHeight="true" outlineLevel="0" collapsed="false">
      <c r="E14" s="136"/>
      <c r="H14" s="470"/>
      <c r="I14" s="681"/>
      <c r="J14" s="733"/>
      <c r="K14" s="734"/>
      <c r="L14" s="735"/>
      <c r="M14" s="495"/>
      <c r="W14" s="42" t="n">
        <v>14</v>
      </c>
    </row>
    <row r="15" customFormat="false" ht="14.25" hidden="false" customHeight="true" outlineLevel="0" collapsed="false">
      <c r="I15" s="414"/>
      <c r="J15" s="495"/>
      <c r="K15" s="495"/>
      <c r="L15" s="495"/>
      <c r="M15" s="495"/>
      <c r="W15" s="42" t="n">
        <v>14</v>
      </c>
    </row>
    <row r="16" customFormat="false" ht="21" hidden="true" customHeight="true" outlineLevel="0" collapsed="false">
      <c r="A16" s="52" t="s">
        <v>80</v>
      </c>
      <c r="B16" s="42" t="n">
        <v>9</v>
      </c>
      <c r="C16" s="42" t="n">
        <v>9</v>
      </c>
      <c r="D16" s="42" t="n">
        <v>9</v>
      </c>
      <c r="E16" s="52" t="s">
        <v>147</v>
      </c>
      <c r="F16" s="52" t="s">
        <v>147</v>
      </c>
      <c r="G16" s="52"/>
      <c r="H16" s="416" t="n">
        <v>3</v>
      </c>
      <c r="I16" s="42" t="n">
        <v>6</v>
      </c>
      <c r="J16" s="42" t="n">
        <v>63</v>
      </c>
      <c r="K16" s="42" t="n">
        <v>9</v>
      </c>
      <c r="L16" s="42" t="n">
        <v>39</v>
      </c>
      <c r="M16" s="42" t="n">
        <v>89</v>
      </c>
      <c r="N16" s="42" t="n">
        <v>10</v>
      </c>
      <c r="O16" s="122" t="n">
        <v>10</v>
      </c>
      <c r="P16" s="122" t="n">
        <v>10</v>
      </c>
      <c r="Q16" s="42" t="n">
        <v>10</v>
      </c>
      <c r="R16" s="42" t="n">
        <v>10</v>
      </c>
      <c r="S16" s="42" t="n">
        <v>10</v>
      </c>
      <c r="T16" s="42" t="n">
        <v>10</v>
      </c>
      <c r="U16" s="42" t="n">
        <v>10</v>
      </c>
      <c r="V16" s="42" t="n">
        <v>10</v>
      </c>
      <c r="W16" s="42" t="n">
        <v>23</v>
      </c>
    </row>
  </sheetData>
  <mergeCells count="5">
    <mergeCell ref="I5:L5"/>
    <mergeCell ref="I6:L6"/>
    <mergeCell ref="I8:L8"/>
    <mergeCell ref="M8:M9"/>
    <mergeCell ref="J15:M15"/>
  </mergeCells>
  <dataValidations count="2">
    <dataValidation allowBlank="true" error="Допускается ввод не более 900 символов!" errorStyle="stop" errorTitle="Ошибка" operator="lessThanOrEqual" showDropDown="false" showErrorMessage="true" showInputMessage="true" sqref="J2 M10"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L2 L10:L12"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2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608" width="10.71"/>
    <col collapsed="false" customWidth="true" hidden="true" outlineLevel="0" max="2" min="2" style="45" width="16.86"/>
    <col collapsed="false" customWidth="true" hidden="true" outlineLevel="0" max="3" min="3" style="49" width="5.57"/>
    <col collapsed="false" customWidth="true" hidden="false" outlineLevel="0" max="4" min="4" style="42" width="3"/>
    <col collapsed="false" customWidth="true" hidden="false" outlineLevel="0" max="5" min="5" style="42" width="7"/>
    <col collapsed="false" customWidth="true" hidden="false" outlineLevel="0" max="6" min="6" style="42" width="56"/>
    <col collapsed="false" customWidth="true" hidden="false" outlineLevel="0" max="7" min="7" style="42" width="10"/>
    <col collapsed="false" customWidth="true" hidden="true" outlineLevel="0" max="8" min="8" style="42" width="40.71"/>
    <col collapsed="false" customWidth="true" hidden="false" outlineLevel="0" max="9" min="9" style="42" width="40"/>
    <col collapsed="false" customWidth="true" hidden="false" outlineLevel="0" max="10" min="10" style="42" width="102"/>
    <col collapsed="false" customWidth="true" hidden="false" outlineLevel="0" max="11" min="11" style="45" width="9"/>
    <col collapsed="false" customWidth="true" hidden="false" outlineLevel="0" max="12" min="12" style="49" width="5"/>
    <col collapsed="false" customWidth="true" hidden="false" outlineLevel="0" max="13" min="13" style="49" width="3"/>
    <col collapsed="false" customWidth="true" hidden="false" outlineLevel="0" max="17" min="14" style="45" width="3"/>
    <col collapsed="false" customWidth="true" hidden="false" outlineLevel="0" max="18" min="18" style="49" width="10"/>
    <col collapsed="false" customWidth="true" hidden="false" outlineLevel="0" max="19" min="19" style="45" width="34"/>
    <col collapsed="false" customWidth="true" hidden="false" outlineLevel="0" max="20" min="20" style="45" width="9"/>
    <col collapsed="false" customWidth="true" hidden="false" outlineLevel="0" max="21" min="21" style="609" width="8"/>
    <col collapsed="false" customWidth="true" hidden="false" outlineLevel="0" max="26" min="22" style="45" width="8"/>
    <col collapsed="false" customWidth="true" hidden="false" outlineLevel="0" max="31" min="27" style="48" width="8"/>
    <col collapsed="false" customWidth="true" hidden="true" outlineLevel="0" max="32" min="32" style="42" width="10.43"/>
  </cols>
  <sheetData>
    <row r="1" s="45" customFormat="true" ht="22.5" hidden="true" customHeight="true" outlineLevel="0" collapsed="false">
      <c r="A1" s="608"/>
      <c r="C1" s="49"/>
      <c r="H1" s="45" t="n">
        <v>4</v>
      </c>
      <c r="I1" s="45" t="n">
        <v>4</v>
      </c>
      <c r="L1" s="49"/>
      <c r="M1" s="49"/>
      <c r="R1" s="49"/>
      <c r="AF1" s="45" t="s">
        <v>14</v>
      </c>
    </row>
    <row r="2" s="45" customFormat="true" ht="22.5" hidden="true" customHeight="true" outlineLevel="0" collapsed="false">
      <c r="A2" s="608"/>
      <c r="C2" s="49"/>
      <c r="D2" s="618"/>
      <c r="E2" s="150"/>
      <c r="F2" s="152"/>
      <c r="G2" s="150" t="s">
        <v>549</v>
      </c>
      <c r="H2" s="441"/>
      <c r="I2" s="441"/>
      <c r="J2" s="619" t="s">
        <v>700</v>
      </c>
      <c r="K2" s="613"/>
      <c r="L2" s="49"/>
      <c r="M2" s="49"/>
      <c r="R2" s="49"/>
      <c r="U2" s="609"/>
      <c r="AA2" s="48"/>
      <c r="AB2" s="48"/>
      <c r="AC2" s="48"/>
      <c r="AD2" s="48"/>
      <c r="AE2" s="48"/>
      <c r="AF2" s="45" t="n">
        <v>0</v>
      </c>
    </row>
    <row r="3" customFormat="false" ht="11.25" hidden="true" customHeight="true" outlineLevel="0" collapsed="false">
      <c r="AF3" s="42" t="n">
        <v>0</v>
      </c>
    </row>
    <row r="4" s="48" customFormat="true" ht="11.25" hidden="true" customHeight="true" outlineLevel="0" collapsed="false">
      <c r="A4" s="608"/>
      <c r="B4" s="45"/>
      <c r="C4" s="49"/>
      <c r="J4" s="48" t="n">
        <v>4</v>
      </c>
      <c r="K4" s="45"/>
      <c r="L4" s="49"/>
      <c r="M4" s="49"/>
      <c r="N4" s="45"/>
      <c r="O4" s="45"/>
      <c r="P4" s="45"/>
      <c r="Q4" s="45"/>
      <c r="R4" s="49"/>
      <c r="S4" s="45"/>
      <c r="T4" s="45"/>
      <c r="U4" s="609"/>
      <c r="V4" s="45"/>
      <c r="W4" s="45"/>
      <c r="X4" s="45"/>
      <c r="Y4" s="45"/>
      <c r="Z4" s="45"/>
      <c r="AF4" s="48" t="n">
        <v>0</v>
      </c>
    </row>
    <row r="5" customFormat="false" ht="11.25" hidden="false" customHeight="true" outlineLevel="0" collapsed="false">
      <c r="AF5" s="42" t="n">
        <v>11</v>
      </c>
    </row>
    <row r="6" customFormat="false" ht="31.5" hidden="false" customHeight="true" outlineLevel="0" collapsed="false">
      <c r="E6" s="254" t="s">
        <v>701</v>
      </c>
      <c r="F6" s="254"/>
      <c r="G6" s="254"/>
      <c r="H6" s="254"/>
      <c r="I6" s="254"/>
      <c r="J6" s="217"/>
      <c r="AF6" s="42" t="n">
        <v>30</v>
      </c>
    </row>
    <row r="7" customFormat="false" ht="11.25" hidden="false" customHeight="true" outlineLevel="0" collapsed="false">
      <c r="E7" s="259" t="str">
        <f aca="false">IF(org=0,"Не определено",org)</f>
        <v>Филиал ПАО "ОГК-2" - Серовская ГРЭС, г. Серов</v>
      </c>
      <c r="F7" s="259"/>
      <c r="G7" s="259"/>
      <c r="H7" s="259"/>
      <c r="I7" s="259"/>
      <c r="AF7" s="42" t="n">
        <v>11</v>
      </c>
    </row>
    <row r="8" customFormat="false" ht="11.25" hidden="false" customHeight="true" outlineLevel="0" collapsed="false">
      <c r="E8" s="622"/>
      <c r="F8" s="622"/>
      <c r="G8" s="622"/>
      <c r="H8" s="622"/>
      <c r="I8" s="622"/>
      <c r="AF8" s="42" t="n">
        <v>11</v>
      </c>
    </row>
    <row r="9" s="49" customFormat="true" ht="3.75" hidden="false" customHeight="true" outlineLevel="0" collapsed="false">
      <c r="A9" s="462"/>
      <c r="H9" s="623"/>
      <c r="I9" s="623" t="s">
        <v>115</v>
      </c>
      <c r="AF9" s="49" t="n">
        <v>4</v>
      </c>
    </row>
    <row r="10" customFormat="false" ht="11.25" hidden="false" customHeight="true" outlineLevel="0" collapsed="false">
      <c r="E10" s="624"/>
      <c r="F10" s="625" t="s">
        <v>103</v>
      </c>
      <c r="G10" s="625"/>
      <c r="H10" s="626" t="str">
        <f aca="false">IF(H9="","",INDEX(DIFFERENTIATION_UNMERGE_VD,MATCH(H9,DIFFERENTIATION_ID_DIFF,0)))</f>
        <v/>
      </c>
      <c r="I10" s="626" t="str">
        <f aca="false">IF(I9="","",INDEX(DIFFERENTIATION_UNMERGE_VD,MATCH(I9,DIFFERENTIATION_ID_DIFF,0)))</f>
        <v>Водоотведение; Транспортировка</v>
      </c>
      <c r="J10" s="138"/>
      <c r="AF10" s="42" t="n">
        <v>11</v>
      </c>
    </row>
    <row r="11" customFormat="false" ht="11.25" hidden="false" customHeight="true" outlineLevel="0" collapsed="false">
      <c r="E11" s="624"/>
      <c r="F11" s="625" t="s">
        <v>561</v>
      </c>
      <c r="G11" s="625"/>
      <c r="H11" s="626" t="str">
        <f aca="false">IF(H9="","",INDEX(DIFFERENTIATION_UNMERGE_AREA,MATCH(H9,DIFFERENTIATION_ID_DIFF,0)))</f>
        <v/>
      </c>
      <c r="I11" s="626" t="str">
        <f aca="false">IF(I9="","",INDEX(DIFFERENTIATION_UNMERGE_AREA,MATCH(I9,DIFFERENTIATION_ID_DIFF,0)))</f>
        <v>Территория 1</v>
      </c>
      <c r="J11" s="138"/>
      <c r="AF11" s="42" t="n">
        <v>11</v>
      </c>
    </row>
    <row r="12" customFormat="false" ht="0.75" hidden="false" customHeight="true" outlineLevel="0" collapsed="false">
      <c r="E12" s="709"/>
      <c r="F12" s="736" t="s">
        <v>562</v>
      </c>
      <c r="G12" s="736"/>
      <c r="H12" s="737" t="str">
        <f aca="false">IF(H9="","",INDEX(DIFFERENTIATION_UNMERGE_SYSTEM,MATCH(H9,DIFFERENTIATION_ID_DIFF,0)))</f>
        <v/>
      </c>
      <c r="I12" s="737" t="str">
        <f aca="false">IF(I9="","",INDEX(DIFFERENTIATION_UNMERGE_SYSTEM,MATCH(I9,DIFFERENTIATION_ID_DIFF,0)))</f>
        <v>без дифференциации</v>
      </c>
      <c r="J12" s="138"/>
      <c r="AF12" s="42" t="n">
        <v>1</v>
      </c>
    </row>
    <row r="13" customFormat="false" ht="11.25" hidden="false" customHeight="true" outlineLevel="0" collapsed="false">
      <c r="E13" s="627" t="s">
        <v>297</v>
      </c>
      <c r="F13" s="627"/>
      <c r="G13" s="627"/>
      <c r="H13" s="628"/>
      <c r="I13" s="628"/>
      <c r="J13" s="138"/>
      <c r="AF13" s="42" t="n">
        <v>11</v>
      </c>
    </row>
    <row r="14" customFormat="false" ht="24" hidden="false" customHeight="true" outlineLevel="0" collapsed="false">
      <c r="E14" s="150" t="s">
        <v>86</v>
      </c>
      <c r="F14" s="150" t="s">
        <v>299</v>
      </c>
      <c r="G14" s="150" t="s">
        <v>563</v>
      </c>
      <c r="H14" s="150" t="s">
        <v>300</v>
      </c>
      <c r="I14" s="150" t="s">
        <v>300</v>
      </c>
      <c r="J14" s="138"/>
      <c r="AF14" s="42" t="n">
        <v>23</v>
      </c>
    </row>
    <row r="15" customFormat="false" ht="19.5" hidden="false" customHeight="true" outlineLevel="0" collapsed="false">
      <c r="D15" s="118"/>
      <c r="E15" s="712" t="s">
        <v>107</v>
      </c>
      <c r="F15" s="629" t="s">
        <v>702</v>
      </c>
      <c r="G15" s="150" t="s">
        <v>549</v>
      </c>
      <c r="H15" s="630"/>
      <c r="I15" s="630"/>
      <c r="J15" s="423" t="s">
        <v>703</v>
      </c>
      <c r="K15" s="613" t="s">
        <v>627</v>
      </c>
      <c r="AF15" s="42" t="n">
        <v>19</v>
      </c>
    </row>
    <row r="16" customFormat="false" ht="35.25" hidden="false" customHeight="true" outlineLevel="0" collapsed="false">
      <c r="D16" s="118"/>
      <c r="E16" s="712" t="s">
        <v>108</v>
      </c>
      <c r="F16" s="629" t="s">
        <v>704</v>
      </c>
      <c r="G16" s="150" t="s">
        <v>549</v>
      </c>
      <c r="H16" s="631" t="n">
        <f aca="false">SUM(H17,H20:H32)</f>
        <v>0</v>
      </c>
      <c r="I16" s="631" t="n">
        <f aca="false">SUM(I17,I20,I23,I26,I29:I32)</f>
        <v>0</v>
      </c>
      <c r="J16" s="423" t="s">
        <v>705</v>
      </c>
      <c r="K16" s="613" t="s">
        <v>627</v>
      </c>
      <c r="AF16" s="42" t="n">
        <v>34</v>
      </c>
    </row>
    <row r="17" customFormat="false" ht="19.5" hidden="false" customHeight="true" outlineLevel="0" collapsed="false">
      <c r="D17" s="118"/>
      <c r="E17" s="718" t="s">
        <v>706</v>
      </c>
      <c r="F17" s="577" t="s">
        <v>707</v>
      </c>
      <c r="G17" s="506" t="s">
        <v>549</v>
      </c>
      <c r="H17" s="630"/>
      <c r="I17" s="630"/>
      <c r="J17" s="423" t="s">
        <v>708</v>
      </c>
      <c r="K17" s="613"/>
      <c r="AF17" s="42" t="n">
        <v>19</v>
      </c>
    </row>
    <row r="18" customFormat="false" ht="24" hidden="false" customHeight="true" outlineLevel="0" collapsed="false">
      <c r="D18" s="118"/>
      <c r="E18" s="718" t="s">
        <v>709</v>
      </c>
      <c r="F18" s="646" t="s">
        <v>710</v>
      </c>
      <c r="G18" s="506" t="s">
        <v>549</v>
      </c>
      <c r="H18" s="630"/>
      <c r="I18" s="630"/>
      <c r="J18" s="423" t="s">
        <v>711</v>
      </c>
      <c r="K18" s="613"/>
      <c r="AF18" s="42" t="n">
        <v>23</v>
      </c>
    </row>
    <row r="19" customFormat="false" ht="35.25" hidden="false" customHeight="true" outlineLevel="0" collapsed="false">
      <c r="D19" s="118"/>
      <c r="E19" s="718" t="s">
        <v>712</v>
      </c>
      <c r="F19" s="646" t="s">
        <v>713</v>
      </c>
      <c r="G19" s="506" t="s">
        <v>549</v>
      </c>
      <c r="H19" s="630"/>
      <c r="I19" s="630"/>
      <c r="J19" s="423"/>
      <c r="K19" s="613"/>
      <c r="AF19" s="42" t="n">
        <v>34</v>
      </c>
    </row>
    <row r="20" customFormat="false" ht="19.5" hidden="false" customHeight="true" outlineLevel="0" collapsed="false">
      <c r="D20" s="118"/>
      <c r="E20" s="718" t="s">
        <v>304</v>
      </c>
      <c r="F20" s="577" t="s">
        <v>714</v>
      </c>
      <c r="G20" s="506" t="s">
        <v>549</v>
      </c>
      <c r="H20" s="630"/>
      <c r="I20" s="630"/>
      <c r="J20" s="423" t="s">
        <v>715</v>
      </c>
      <c r="K20" s="613"/>
      <c r="AF20" s="42" t="n">
        <v>19</v>
      </c>
    </row>
    <row r="21" customFormat="false" ht="19.5" hidden="false" customHeight="true" outlineLevel="0" collapsed="false">
      <c r="D21" s="118"/>
      <c r="E21" s="718" t="s">
        <v>716</v>
      </c>
      <c r="F21" s="646" t="s">
        <v>717</v>
      </c>
      <c r="G21" s="506" t="s">
        <v>549</v>
      </c>
      <c r="H21" s="630"/>
      <c r="I21" s="630"/>
      <c r="J21" s="423"/>
      <c r="K21" s="613"/>
      <c r="AF21" s="42" t="n">
        <v>19</v>
      </c>
    </row>
    <row r="22" customFormat="false" ht="19.5" hidden="false" customHeight="true" outlineLevel="0" collapsed="false">
      <c r="D22" s="118"/>
      <c r="E22" s="718" t="s">
        <v>718</v>
      </c>
      <c r="F22" s="646" t="s">
        <v>719</v>
      </c>
      <c r="G22" s="506" t="s">
        <v>549</v>
      </c>
      <c r="H22" s="630"/>
      <c r="I22" s="630"/>
      <c r="J22" s="423"/>
      <c r="K22" s="613"/>
      <c r="AF22" s="42" t="n">
        <v>19</v>
      </c>
    </row>
    <row r="23" customFormat="false" ht="24" hidden="false" customHeight="true" outlineLevel="0" collapsed="false">
      <c r="D23" s="118"/>
      <c r="E23" s="718" t="s">
        <v>307</v>
      </c>
      <c r="F23" s="577" t="s">
        <v>720</v>
      </c>
      <c r="G23" s="506" t="s">
        <v>549</v>
      </c>
      <c r="H23" s="630"/>
      <c r="I23" s="630"/>
      <c r="J23" s="423" t="s">
        <v>721</v>
      </c>
      <c r="K23" s="613"/>
      <c r="AF23" s="42" t="n">
        <v>23</v>
      </c>
    </row>
    <row r="24" customFormat="false" ht="19.5" hidden="false" customHeight="true" outlineLevel="0" collapsed="false">
      <c r="D24" s="118"/>
      <c r="E24" s="718" t="s">
        <v>722</v>
      </c>
      <c r="F24" s="646" t="s">
        <v>723</v>
      </c>
      <c r="G24" s="506" t="s">
        <v>549</v>
      </c>
      <c r="H24" s="630"/>
      <c r="I24" s="630"/>
      <c r="J24" s="423"/>
      <c r="K24" s="613"/>
      <c r="AF24" s="42" t="n">
        <v>19</v>
      </c>
    </row>
    <row r="25" customFormat="false" ht="35.25" hidden="false" customHeight="true" outlineLevel="0" collapsed="false">
      <c r="D25" s="118"/>
      <c r="E25" s="718" t="s">
        <v>724</v>
      </c>
      <c r="F25" s="646" t="s">
        <v>725</v>
      </c>
      <c r="G25" s="506" t="s">
        <v>549</v>
      </c>
      <c r="H25" s="630"/>
      <c r="I25" s="630"/>
      <c r="J25" s="423"/>
      <c r="K25" s="613"/>
      <c r="AF25" s="42" t="n">
        <v>34</v>
      </c>
    </row>
    <row r="26" customFormat="false" ht="24" hidden="false" customHeight="true" outlineLevel="0" collapsed="false">
      <c r="D26" s="118"/>
      <c r="E26" s="718" t="s">
        <v>726</v>
      </c>
      <c r="F26" s="577" t="s">
        <v>727</v>
      </c>
      <c r="G26" s="506" t="s">
        <v>549</v>
      </c>
      <c r="H26" s="630"/>
      <c r="I26" s="630"/>
      <c r="J26" s="423" t="s">
        <v>728</v>
      </c>
      <c r="K26" s="613"/>
      <c r="AF26" s="42" t="n">
        <v>23</v>
      </c>
    </row>
    <row r="27" customFormat="false" ht="19.5" hidden="false" customHeight="true" outlineLevel="0" collapsed="false">
      <c r="D27" s="118"/>
      <c r="E27" s="721" t="s">
        <v>729</v>
      </c>
      <c r="F27" s="646" t="s">
        <v>730</v>
      </c>
      <c r="G27" s="506" t="s">
        <v>549</v>
      </c>
      <c r="H27" s="716"/>
      <c r="I27" s="716"/>
      <c r="J27" s="423"/>
      <c r="K27" s="613"/>
      <c r="AF27" s="42" t="n">
        <v>19</v>
      </c>
    </row>
    <row r="28" customFormat="false" ht="19.5" hidden="false" customHeight="true" outlineLevel="0" collapsed="false">
      <c r="D28" s="118"/>
      <c r="E28" s="721" t="s">
        <v>731</v>
      </c>
      <c r="F28" s="646" t="s">
        <v>732</v>
      </c>
      <c r="G28" s="506" t="s">
        <v>549</v>
      </c>
      <c r="H28" s="716"/>
      <c r="I28" s="716"/>
      <c r="J28" s="423"/>
      <c r="K28" s="613"/>
      <c r="AF28" s="42" t="n">
        <v>19</v>
      </c>
    </row>
    <row r="29" customFormat="false" ht="19.5" hidden="false" customHeight="true" outlineLevel="0" collapsed="false">
      <c r="D29" s="118"/>
      <c r="E29" s="721" t="s">
        <v>733</v>
      </c>
      <c r="F29" s="577" t="s">
        <v>734</v>
      </c>
      <c r="G29" s="506" t="s">
        <v>549</v>
      </c>
      <c r="H29" s="716"/>
      <c r="I29" s="716"/>
      <c r="J29" s="423"/>
      <c r="K29" s="613"/>
      <c r="AF29" s="42" t="n">
        <v>19</v>
      </c>
    </row>
    <row r="30" customFormat="false" ht="19.5" hidden="false" customHeight="true" outlineLevel="0" collapsed="false">
      <c r="D30" s="118"/>
      <c r="E30" s="721" t="s">
        <v>735</v>
      </c>
      <c r="F30" s="577" t="s">
        <v>736</v>
      </c>
      <c r="G30" s="506" t="s">
        <v>549</v>
      </c>
      <c r="H30" s="716"/>
      <c r="I30" s="716"/>
      <c r="J30" s="423"/>
      <c r="K30" s="613"/>
      <c r="AF30" s="42" t="n">
        <v>19</v>
      </c>
    </row>
    <row r="31" customFormat="false" ht="19.5" hidden="false" customHeight="true" outlineLevel="0" collapsed="false">
      <c r="D31" s="118"/>
      <c r="E31" s="721" t="s">
        <v>737</v>
      </c>
      <c r="F31" s="577" t="s">
        <v>738</v>
      </c>
      <c r="G31" s="506" t="s">
        <v>549</v>
      </c>
      <c r="H31" s="716"/>
      <c r="I31" s="716"/>
      <c r="J31" s="423"/>
      <c r="K31" s="613"/>
      <c r="AF31" s="42" t="n">
        <v>19</v>
      </c>
    </row>
    <row r="32" s="45" customFormat="true" ht="35.25" hidden="false" customHeight="true" outlineLevel="0" collapsed="false">
      <c r="A32" s="608"/>
      <c r="C32" s="49"/>
      <c r="D32" s="118"/>
      <c r="E32" s="721" t="s">
        <v>739</v>
      </c>
      <c r="F32" s="577" t="s">
        <v>740</v>
      </c>
      <c r="G32" s="260" t="s">
        <v>549</v>
      </c>
      <c r="H32" s="653" t="n">
        <f aca="false">SUM(H33:H34)</f>
        <v>0</v>
      </c>
      <c r="I32" s="653" t="n">
        <f aca="false">SUM(I33:I34)</f>
        <v>0</v>
      </c>
      <c r="J32" s="423" t="s">
        <v>741</v>
      </c>
      <c r="K32" s="613"/>
      <c r="L32" s="49"/>
      <c r="M32" s="49"/>
      <c r="R32" s="49"/>
      <c r="U32" s="609"/>
      <c r="AA32" s="48"/>
      <c r="AB32" s="48"/>
      <c r="AC32" s="48"/>
      <c r="AD32" s="48"/>
      <c r="AE32" s="48"/>
      <c r="AF32" s="45" t="n">
        <v>34</v>
      </c>
    </row>
    <row r="33" s="49" customFormat="true" ht="0.75" hidden="false" customHeight="true" outlineLevel="0" collapsed="false">
      <c r="A33" s="462"/>
      <c r="D33" s="462"/>
      <c r="E33" s="151" t="str">
        <f aca="false">E32&amp;".0"</f>
        <v>2.8.0</v>
      </c>
      <c r="F33" s="654"/>
      <c r="G33" s="151"/>
      <c r="H33" s="655"/>
      <c r="I33" s="655"/>
      <c r="J33" s="656"/>
      <c r="AF33" s="49" t="n">
        <v>1</v>
      </c>
    </row>
    <row r="34" s="45" customFormat="true" ht="19.5" hidden="false" customHeight="true" outlineLevel="0" collapsed="false">
      <c r="A34" s="608"/>
      <c r="C34" s="49"/>
      <c r="D34" s="121"/>
      <c r="E34" s="643"/>
      <c r="F34" s="738" t="s">
        <v>574</v>
      </c>
      <c r="G34" s="644"/>
      <c r="H34" s="645"/>
      <c r="I34" s="645"/>
      <c r="J34" s="481" t="s">
        <v>742</v>
      </c>
      <c r="K34" s="613"/>
      <c r="L34" s="49"/>
      <c r="M34" s="49"/>
      <c r="R34" s="49"/>
      <c r="U34" s="609"/>
      <c r="AA34" s="48"/>
      <c r="AB34" s="48"/>
      <c r="AC34" s="48"/>
      <c r="AD34" s="48"/>
      <c r="AE34" s="48"/>
      <c r="AF34" s="45" t="n">
        <v>19</v>
      </c>
    </row>
    <row r="35" customFormat="false" ht="60" hidden="false" customHeight="true" outlineLevel="0" collapsed="false">
      <c r="D35" s="118"/>
      <c r="E35" s="721" t="s">
        <v>743</v>
      </c>
      <c r="F35" s="577" t="s">
        <v>744</v>
      </c>
      <c r="G35" s="506" t="s">
        <v>549</v>
      </c>
      <c r="H35" s="716"/>
      <c r="I35" s="716"/>
      <c r="J35" s="423" t="s">
        <v>745</v>
      </c>
      <c r="K35" s="613"/>
      <c r="AF35" s="42" t="n">
        <v>57</v>
      </c>
    </row>
    <row r="36" s="45" customFormat="true" ht="24" hidden="false" customHeight="true" outlineLevel="0" collapsed="false">
      <c r="A36" s="648" t="s">
        <v>575</v>
      </c>
      <c r="C36" s="49"/>
      <c r="D36" s="118"/>
      <c r="E36" s="718" t="s">
        <v>88</v>
      </c>
      <c r="F36" s="629" t="s">
        <v>746</v>
      </c>
      <c r="G36" s="506" t="s">
        <v>549</v>
      </c>
      <c r="H36" s="630"/>
      <c r="I36" s="630"/>
      <c r="J36" s="423" t="s">
        <v>747</v>
      </c>
      <c r="K36" s="613"/>
      <c r="L36" s="49"/>
      <c r="M36" s="49"/>
      <c r="R36" s="49"/>
      <c r="U36" s="609"/>
      <c r="AA36" s="48"/>
      <c r="AB36" s="48"/>
      <c r="AC36" s="48"/>
      <c r="AD36" s="48"/>
      <c r="AE36" s="48"/>
      <c r="AF36" s="45" t="n">
        <v>23</v>
      </c>
    </row>
    <row r="37" s="45" customFormat="true" ht="35.25" hidden="false" customHeight="true" outlineLevel="0" collapsed="false">
      <c r="A37" s="648"/>
      <c r="C37" s="49"/>
      <c r="D37" s="118"/>
      <c r="E37" s="718" t="s">
        <v>321</v>
      </c>
      <c r="F37" s="577" t="s">
        <v>748</v>
      </c>
      <c r="G37" s="506"/>
      <c r="H37" s="630"/>
      <c r="I37" s="630"/>
      <c r="J37" s="423"/>
      <c r="K37" s="613"/>
      <c r="L37" s="49"/>
      <c r="M37" s="49"/>
      <c r="R37" s="49"/>
      <c r="U37" s="609"/>
      <c r="AA37" s="48"/>
      <c r="AB37" s="48"/>
      <c r="AC37" s="48"/>
      <c r="AD37" s="48"/>
      <c r="AE37" s="48"/>
      <c r="AF37" s="45" t="n">
        <v>34</v>
      </c>
    </row>
    <row r="38" s="45" customFormat="true" ht="19.5" hidden="false" customHeight="true" outlineLevel="0" collapsed="false">
      <c r="A38" s="608"/>
      <c r="C38" s="49"/>
      <c r="D38" s="649"/>
      <c r="E38" s="718" t="s">
        <v>89</v>
      </c>
      <c r="F38" s="629" t="s">
        <v>749</v>
      </c>
      <c r="G38" s="506" t="s">
        <v>549</v>
      </c>
      <c r="H38" s="630"/>
      <c r="I38" s="630"/>
      <c r="J38" s="423" t="s">
        <v>750</v>
      </c>
      <c r="K38" s="613"/>
      <c r="L38" s="49"/>
      <c r="M38" s="49"/>
      <c r="R38" s="49"/>
      <c r="U38" s="609"/>
      <c r="AA38" s="48"/>
      <c r="AB38" s="48"/>
      <c r="AC38" s="48"/>
      <c r="AD38" s="48"/>
      <c r="AE38" s="48"/>
      <c r="AF38" s="45" t="n">
        <v>19</v>
      </c>
    </row>
    <row r="39" s="45" customFormat="true" ht="24" hidden="false" customHeight="true" outlineLevel="0" collapsed="false">
      <c r="A39" s="608"/>
      <c r="C39" s="49"/>
      <c r="D39" s="649"/>
      <c r="E39" s="718" t="s">
        <v>751</v>
      </c>
      <c r="F39" s="577" t="s">
        <v>752</v>
      </c>
      <c r="G39" s="506" t="s">
        <v>549</v>
      </c>
      <c r="H39" s="630"/>
      <c r="I39" s="630"/>
      <c r="J39" s="423" t="s">
        <v>753</v>
      </c>
      <c r="K39" s="613"/>
      <c r="L39" s="49"/>
      <c r="M39" s="49"/>
      <c r="R39" s="49"/>
      <c r="U39" s="609"/>
      <c r="AA39" s="48"/>
      <c r="AB39" s="48"/>
      <c r="AC39" s="48"/>
      <c r="AD39" s="48"/>
      <c r="AE39" s="48"/>
      <c r="AF39" s="45" t="n">
        <v>23</v>
      </c>
    </row>
    <row r="40" s="45" customFormat="true" ht="24" hidden="false" customHeight="true" outlineLevel="0" collapsed="false">
      <c r="A40" s="608"/>
      <c r="C40" s="49"/>
      <c r="D40" s="118"/>
      <c r="E40" s="718" t="s">
        <v>754</v>
      </c>
      <c r="F40" s="646" t="s">
        <v>755</v>
      </c>
      <c r="G40" s="506" t="s">
        <v>549</v>
      </c>
      <c r="H40" s="630"/>
      <c r="I40" s="630"/>
      <c r="J40" s="423" t="s">
        <v>756</v>
      </c>
      <c r="K40" s="613"/>
      <c r="L40" s="49"/>
      <c r="M40" s="49"/>
      <c r="R40" s="49"/>
      <c r="U40" s="609"/>
      <c r="AA40" s="48"/>
      <c r="AB40" s="48"/>
      <c r="AC40" s="48"/>
      <c r="AD40" s="48"/>
      <c r="AE40" s="48"/>
      <c r="AF40" s="45" t="n">
        <v>23</v>
      </c>
    </row>
    <row r="41" s="45" customFormat="true" ht="24" hidden="false" customHeight="true" outlineLevel="0" collapsed="false">
      <c r="A41" s="608"/>
      <c r="C41" s="49"/>
      <c r="D41" s="118"/>
      <c r="E41" s="718" t="s">
        <v>757</v>
      </c>
      <c r="F41" s="646" t="s">
        <v>758</v>
      </c>
      <c r="G41" s="506" t="s">
        <v>549</v>
      </c>
      <c r="H41" s="630"/>
      <c r="I41" s="630"/>
      <c r="J41" s="423" t="s">
        <v>759</v>
      </c>
      <c r="K41" s="613"/>
      <c r="L41" s="49"/>
      <c r="M41" s="49"/>
      <c r="R41" s="49"/>
      <c r="U41" s="609"/>
      <c r="AA41" s="48"/>
      <c r="AB41" s="48"/>
      <c r="AC41" s="48"/>
      <c r="AD41" s="48"/>
      <c r="AE41" s="48"/>
      <c r="AF41" s="45" t="n">
        <v>23</v>
      </c>
    </row>
    <row r="42" s="45" customFormat="true" ht="24" hidden="false" customHeight="true" outlineLevel="0" collapsed="false">
      <c r="A42" s="608"/>
      <c r="C42" s="49"/>
      <c r="D42" s="118"/>
      <c r="E42" s="718" t="s">
        <v>760</v>
      </c>
      <c r="F42" s="646" t="s">
        <v>761</v>
      </c>
      <c r="G42" s="506" t="s">
        <v>549</v>
      </c>
      <c r="H42" s="630"/>
      <c r="I42" s="630"/>
      <c r="J42" s="423" t="s">
        <v>762</v>
      </c>
      <c r="K42" s="613"/>
      <c r="L42" s="49"/>
      <c r="M42" s="49"/>
      <c r="R42" s="49"/>
      <c r="U42" s="609"/>
      <c r="AA42" s="48"/>
      <c r="AB42" s="48"/>
      <c r="AC42" s="48"/>
      <c r="AD42" s="48"/>
      <c r="AE42" s="48"/>
      <c r="AF42" s="45" t="n">
        <v>23</v>
      </c>
    </row>
    <row r="43" s="45" customFormat="true" ht="35.25" hidden="false" customHeight="true" outlineLevel="0" collapsed="false">
      <c r="A43" s="608"/>
      <c r="C43" s="49" t="s">
        <v>585</v>
      </c>
      <c r="D43" s="118"/>
      <c r="E43" s="718" t="s">
        <v>109</v>
      </c>
      <c r="F43" s="629" t="s">
        <v>626</v>
      </c>
      <c r="G43" s="150" t="s">
        <v>763</v>
      </c>
      <c r="H43" s="662"/>
      <c r="I43" s="662"/>
      <c r="J43" s="612" t="s">
        <v>764</v>
      </c>
      <c r="K43" s="613"/>
      <c r="L43" s="49"/>
      <c r="M43" s="49"/>
      <c r="R43" s="49"/>
      <c r="U43" s="609"/>
      <c r="AA43" s="48"/>
      <c r="AB43" s="48"/>
      <c r="AC43" s="48"/>
      <c r="AD43" s="48"/>
      <c r="AE43" s="48"/>
      <c r="AF43" s="45" t="n">
        <v>34</v>
      </c>
    </row>
    <row r="44" s="45" customFormat="true" ht="35.25" hidden="false" customHeight="true" outlineLevel="0" collapsed="false">
      <c r="A44" s="608"/>
      <c r="C44" s="49"/>
      <c r="D44" s="118"/>
      <c r="E44" s="718" t="s">
        <v>90</v>
      </c>
      <c r="F44" s="629" t="s">
        <v>765</v>
      </c>
      <c r="G44" s="739" t="s">
        <v>766</v>
      </c>
      <c r="H44" s="620"/>
      <c r="I44" s="620"/>
      <c r="J44" s="423" t="s">
        <v>767</v>
      </c>
      <c r="K44" s="613"/>
      <c r="L44" s="49"/>
      <c r="M44" s="49"/>
      <c r="R44" s="49"/>
      <c r="U44" s="609"/>
      <c r="AA44" s="48"/>
      <c r="AB44" s="48"/>
      <c r="AC44" s="48"/>
      <c r="AD44" s="48"/>
      <c r="AE44" s="48"/>
      <c r="AF44" s="45" t="n">
        <v>34</v>
      </c>
    </row>
    <row r="45" s="45" customFormat="true" ht="24" hidden="false" customHeight="true" outlineLevel="0" collapsed="false">
      <c r="A45" s="608"/>
      <c r="C45" s="49"/>
      <c r="D45" s="118"/>
      <c r="E45" s="718" t="s">
        <v>91</v>
      </c>
      <c r="F45" s="629" t="s">
        <v>768</v>
      </c>
      <c r="G45" s="506" t="s">
        <v>769</v>
      </c>
      <c r="H45" s="620"/>
      <c r="I45" s="620"/>
      <c r="J45" s="423" t="s">
        <v>770</v>
      </c>
      <c r="K45" s="613"/>
      <c r="L45" s="49"/>
      <c r="M45" s="49"/>
      <c r="R45" s="49"/>
      <c r="U45" s="609"/>
      <c r="AA45" s="48"/>
      <c r="AB45" s="48"/>
      <c r="AC45" s="48"/>
      <c r="AD45" s="48"/>
      <c r="AE45" s="48"/>
      <c r="AF45" s="45" t="n">
        <v>23</v>
      </c>
    </row>
    <row r="46" s="45" customFormat="true" ht="19.5" hidden="false" customHeight="true" outlineLevel="0" collapsed="false">
      <c r="A46" s="608"/>
      <c r="C46" s="49"/>
      <c r="D46" s="118"/>
      <c r="E46" s="718" t="s">
        <v>110</v>
      </c>
      <c r="F46" s="629" t="s">
        <v>771</v>
      </c>
      <c r="G46" s="506" t="s">
        <v>587</v>
      </c>
      <c r="H46" s="650"/>
      <c r="I46" s="650"/>
      <c r="J46" s="423"/>
      <c r="K46" s="613"/>
      <c r="L46" s="49"/>
      <c r="M46" s="49"/>
      <c r="R46" s="49"/>
      <c r="U46" s="609"/>
      <c r="AA46" s="48"/>
      <c r="AB46" s="48"/>
      <c r="AC46" s="48"/>
      <c r="AD46" s="48"/>
      <c r="AE46" s="48"/>
      <c r="AF46" s="45" t="n">
        <v>19</v>
      </c>
    </row>
    <row r="47" customFormat="false" ht="11.25" hidden="false" customHeight="true" outlineLevel="0" collapsed="false">
      <c r="D47" s="118"/>
      <c r="AF47" s="42" t="n">
        <v>11</v>
      </c>
    </row>
    <row r="48" s="124" customFormat="true" ht="11.25" hidden="false" customHeight="true" outlineLevel="0" collapsed="false">
      <c r="A48" s="608"/>
      <c r="B48" s="49"/>
      <c r="C48" s="49"/>
      <c r="K48" s="45"/>
      <c r="L48" s="49"/>
      <c r="M48" s="49"/>
      <c r="N48" s="45"/>
      <c r="O48" s="45"/>
      <c r="P48" s="45"/>
      <c r="Q48" s="45"/>
      <c r="R48" s="49"/>
      <c r="S48" s="45"/>
      <c r="T48" s="45"/>
      <c r="U48" s="609"/>
      <c r="V48" s="45"/>
      <c r="W48" s="45"/>
      <c r="X48" s="45"/>
      <c r="Y48" s="45"/>
      <c r="Z48" s="45"/>
      <c r="AA48" s="48"/>
      <c r="AB48" s="47"/>
      <c r="AC48" s="47"/>
      <c r="AD48" s="47"/>
      <c r="AE48" s="47"/>
      <c r="AF48" s="124" t="n">
        <v>11</v>
      </c>
    </row>
    <row r="49" s="124" customFormat="true" ht="11.25" hidden="false" customHeight="true" outlineLevel="0" collapsed="false">
      <c r="A49" s="608"/>
      <c r="B49" s="49"/>
      <c r="C49" s="49"/>
      <c r="K49" s="45"/>
      <c r="L49" s="49"/>
      <c r="M49" s="49"/>
      <c r="N49" s="45"/>
      <c r="O49" s="45"/>
      <c r="P49" s="45"/>
      <c r="Q49" s="45"/>
      <c r="R49" s="49"/>
      <c r="S49" s="45"/>
      <c r="T49" s="45"/>
      <c r="U49" s="609"/>
      <c r="V49" s="45"/>
      <c r="W49" s="45"/>
      <c r="X49" s="45"/>
      <c r="Y49" s="45"/>
      <c r="Z49" s="45"/>
      <c r="AA49" s="48"/>
      <c r="AB49" s="47"/>
      <c r="AC49" s="47"/>
      <c r="AD49" s="47"/>
      <c r="AE49" s="47"/>
      <c r="AF49" s="124" t="n">
        <v>11</v>
      </c>
    </row>
    <row r="50" s="124" customFormat="true" ht="11.25" hidden="false" customHeight="true" outlineLevel="0" collapsed="false">
      <c r="A50" s="608"/>
      <c r="B50" s="49"/>
      <c r="C50" s="49"/>
      <c r="H50" s="47"/>
      <c r="I50" s="47"/>
      <c r="K50" s="45"/>
      <c r="L50" s="49"/>
      <c r="M50" s="49"/>
      <c r="N50" s="45"/>
      <c r="O50" s="45"/>
      <c r="P50" s="45"/>
      <c r="Q50" s="45"/>
      <c r="R50" s="49"/>
      <c r="S50" s="45"/>
      <c r="T50" s="45"/>
      <c r="U50" s="609"/>
      <c r="V50" s="45"/>
      <c r="W50" s="45"/>
      <c r="X50" s="45"/>
      <c r="Y50" s="45"/>
      <c r="Z50" s="45"/>
      <c r="AA50" s="48"/>
      <c r="AB50" s="47"/>
      <c r="AC50" s="47"/>
      <c r="AD50" s="47"/>
      <c r="AE50" s="47"/>
      <c r="AF50" s="124" t="n">
        <v>11</v>
      </c>
    </row>
    <row r="51" s="124" customFormat="true" ht="11.25" hidden="false" customHeight="true" outlineLevel="0" collapsed="false">
      <c r="A51" s="608"/>
      <c r="B51" s="49"/>
      <c r="C51" s="49"/>
      <c r="K51" s="45"/>
      <c r="L51" s="49"/>
      <c r="M51" s="49"/>
      <c r="N51" s="45"/>
      <c r="O51" s="45"/>
      <c r="P51" s="45"/>
      <c r="Q51" s="45"/>
      <c r="R51" s="49"/>
      <c r="S51" s="45"/>
      <c r="T51" s="45"/>
      <c r="U51" s="609"/>
      <c r="V51" s="45"/>
      <c r="W51" s="45"/>
      <c r="X51" s="45"/>
      <c r="Y51" s="45"/>
      <c r="Z51" s="45"/>
      <c r="AA51" s="48"/>
      <c r="AB51" s="47"/>
      <c r="AC51" s="47"/>
      <c r="AD51" s="47"/>
      <c r="AE51" s="47"/>
      <c r="AF51" s="124" t="n">
        <v>11</v>
      </c>
    </row>
    <row r="52" s="124" customFormat="true" ht="11.25" hidden="false" customHeight="true" outlineLevel="0" collapsed="false">
      <c r="A52" s="608"/>
      <c r="B52" s="49"/>
      <c r="C52" s="49"/>
      <c r="K52" s="45"/>
      <c r="L52" s="49"/>
      <c r="M52" s="49"/>
      <c r="N52" s="45"/>
      <c r="O52" s="45"/>
      <c r="P52" s="45"/>
      <c r="Q52" s="45"/>
      <c r="R52" s="49"/>
      <c r="S52" s="45"/>
      <c r="T52" s="45"/>
      <c r="U52" s="609"/>
      <c r="V52" s="45"/>
      <c r="W52" s="45"/>
      <c r="X52" s="45"/>
      <c r="Y52" s="45"/>
      <c r="Z52" s="45"/>
      <c r="AA52" s="48"/>
      <c r="AB52" s="47"/>
      <c r="AC52" s="47"/>
      <c r="AD52" s="47"/>
      <c r="AE52" s="47"/>
      <c r="AF52" s="124" t="n">
        <v>11</v>
      </c>
    </row>
    <row r="53" s="124" customFormat="true" ht="11.25" hidden="false" customHeight="true" outlineLevel="0" collapsed="false">
      <c r="A53" s="608"/>
      <c r="B53" s="49"/>
      <c r="C53" s="49"/>
      <c r="K53" s="45"/>
      <c r="L53" s="49"/>
      <c r="M53" s="49"/>
      <c r="N53" s="45"/>
      <c r="O53" s="45"/>
      <c r="P53" s="45"/>
      <c r="Q53" s="45"/>
      <c r="R53" s="49"/>
      <c r="S53" s="45"/>
      <c r="T53" s="45"/>
      <c r="U53" s="609"/>
      <c r="V53" s="45"/>
      <c r="W53" s="45"/>
      <c r="X53" s="45"/>
      <c r="Y53" s="45"/>
      <c r="Z53" s="45"/>
      <c r="AA53" s="48"/>
      <c r="AB53" s="47"/>
      <c r="AC53" s="47"/>
      <c r="AD53" s="47"/>
      <c r="AE53" s="47"/>
      <c r="AF53" s="124" t="n">
        <v>11</v>
      </c>
    </row>
    <row r="54" s="124" customFormat="true" ht="11.25" hidden="false" customHeight="true" outlineLevel="0" collapsed="false">
      <c r="A54" s="608"/>
      <c r="B54" s="49"/>
      <c r="C54" s="49"/>
      <c r="K54" s="45"/>
      <c r="L54" s="49"/>
      <c r="M54" s="49"/>
      <c r="N54" s="45"/>
      <c r="O54" s="45"/>
      <c r="P54" s="45"/>
      <c r="Q54" s="45"/>
      <c r="R54" s="49"/>
      <c r="S54" s="45"/>
      <c r="T54" s="45"/>
      <c r="U54" s="609"/>
      <c r="V54" s="45"/>
      <c r="W54" s="45"/>
      <c r="X54" s="45"/>
      <c r="Y54" s="45"/>
      <c r="Z54" s="45"/>
      <c r="AA54" s="48"/>
      <c r="AB54" s="47"/>
      <c r="AC54" s="47"/>
      <c r="AD54" s="47"/>
      <c r="AE54" s="47"/>
      <c r="AF54" s="124" t="n">
        <v>11</v>
      </c>
    </row>
    <row r="55" s="124" customFormat="true" ht="11.25" hidden="false" customHeight="true" outlineLevel="0" collapsed="false">
      <c r="A55" s="608"/>
      <c r="B55" s="49"/>
      <c r="C55" s="49"/>
      <c r="K55" s="45"/>
      <c r="L55" s="49"/>
      <c r="M55" s="49"/>
      <c r="N55" s="45"/>
      <c r="O55" s="45"/>
      <c r="P55" s="45"/>
      <c r="Q55" s="45"/>
      <c r="R55" s="49"/>
      <c r="S55" s="45"/>
      <c r="T55" s="45"/>
      <c r="U55" s="609"/>
      <c r="V55" s="45"/>
      <c r="W55" s="45"/>
      <c r="X55" s="45"/>
      <c r="Y55" s="45"/>
      <c r="Z55" s="45"/>
      <c r="AA55" s="48"/>
      <c r="AB55" s="47"/>
      <c r="AC55" s="47"/>
      <c r="AD55" s="47"/>
      <c r="AE55" s="47"/>
      <c r="AF55" s="124" t="n">
        <v>11</v>
      </c>
    </row>
    <row r="56" s="124" customFormat="true" ht="11.25" hidden="false" customHeight="true" outlineLevel="0" collapsed="false">
      <c r="A56" s="608"/>
      <c r="B56" s="49"/>
      <c r="C56" s="49"/>
      <c r="K56" s="45"/>
      <c r="L56" s="49"/>
      <c r="M56" s="49"/>
      <c r="N56" s="45"/>
      <c r="O56" s="45"/>
      <c r="P56" s="45"/>
      <c r="Q56" s="45"/>
      <c r="R56" s="49"/>
      <c r="S56" s="45"/>
      <c r="T56" s="45"/>
      <c r="U56" s="609"/>
      <c r="V56" s="45"/>
      <c r="W56" s="45"/>
      <c r="X56" s="45"/>
      <c r="Y56" s="45"/>
      <c r="Z56" s="45"/>
      <c r="AA56" s="48"/>
      <c r="AB56" s="47"/>
      <c r="AC56" s="47"/>
      <c r="AD56" s="47"/>
      <c r="AE56" s="47"/>
      <c r="AF56" s="124" t="n">
        <v>11</v>
      </c>
    </row>
    <row r="57" s="124" customFormat="true" ht="11.25" hidden="false" customHeight="true" outlineLevel="0" collapsed="false">
      <c r="A57" s="608"/>
      <c r="B57" s="49"/>
      <c r="C57" s="49"/>
      <c r="K57" s="45"/>
      <c r="L57" s="49"/>
      <c r="M57" s="49"/>
      <c r="N57" s="45"/>
      <c r="O57" s="45"/>
      <c r="P57" s="45"/>
      <c r="Q57" s="45"/>
      <c r="R57" s="49"/>
      <c r="S57" s="45"/>
      <c r="T57" s="45"/>
      <c r="U57" s="609"/>
      <c r="V57" s="45"/>
      <c r="W57" s="45"/>
      <c r="X57" s="45"/>
      <c r="Y57" s="45"/>
      <c r="Z57" s="45"/>
      <c r="AA57" s="48"/>
      <c r="AB57" s="47"/>
      <c r="AC57" s="47"/>
      <c r="AD57" s="47"/>
      <c r="AE57" s="47"/>
      <c r="AF57" s="124" t="n">
        <v>11</v>
      </c>
    </row>
    <row r="58" s="124" customFormat="true" ht="11.25" hidden="false" customHeight="true" outlineLevel="0" collapsed="false">
      <c r="A58" s="608"/>
      <c r="B58" s="49"/>
      <c r="C58" s="49"/>
      <c r="K58" s="45"/>
      <c r="L58" s="49"/>
      <c r="M58" s="49"/>
      <c r="N58" s="45"/>
      <c r="O58" s="45"/>
      <c r="P58" s="45"/>
      <c r="Q58" s="45"/>
      <c r="R58" s="49"/>
      <c r="S58" s="45"/>
      <c r="T58" s="45"/>
      <c r="U58" s="609"/>
      <c r="V58" s="45"/>
      <c r="W58" s="45"/>
      <c r="X58" s="45"/>
      <c r="Y58" s="45"/>
      <c r="Z58" s="45"/>
      <c r="AA58" s="48"/>
      <c r="AB58" s="47"/>
      <c r="AC58" s="47"/>
      <c r="AD58" s="47"/>
      <c r="AE58" s="47"/>
      <c r="AF58" s="124" t="n">
        <v>11</v>
      </c>
    </row>
    <row r="59" s="124" customFormat="true" ht="11.25" hidden="false" customHeight="true" outlineLevel="0" collapsed="false">
      <c r="A59" s="608"/>
      <c r="B59" s="49"/>
      <c r="C59" s="49"/>
      <c r="K59" s="45"/>
      <c r="L59" s="49"/>
      <c r="M59" s="49"/>
      <c r="N59" s="45"/>
      <c r="O59" s="45"/>
      <c r="P59" s="45"/>
      <c r="Q59" s="45"/>
      <c r="R59" s="49"/>
      <c r="S59" s="45"/>
      <c r="T59" s="45"/>
      <c r="U59" s="609"/>
      <c r="V59" s="45"/>
      <c r="W59" s="45"/>
      <c r="X59" s="45"/>
      <c r="Y59" s="45"/>
      <c r="Z59" s="45"/>
      <c r="AA59" s="48"/>
      <c r="AB59" s="47"/>
      <c r="AC59" s="47"/>
      <c r="AD59" s="47"/>
      <c r="AE59" s="47"/>
      <c r="AF59" s="124" t="n">
        <v>11</v>
      </c>
    </row>
    <row r="60" s="124" customFormat="true" ht="11.25" hidden="false" customHeight="true" outlineLevel="0" collapsed="false">
      <c r="A60" s="608"/>
      <c r="B60" s="49"/>
      <c r="C60" s="49"/>
      <c r="K60" s="45"/>
      <c r="L60" s="49"/>
      <c r="M60" s="49"/>
      <c r="N60" s="45"/>
      <c r="O60" s="45"/>
      <c r="P60" s="45"/>
      <c r="Q60" s="45"/>
      <c r="R60" s="49"/>
      <c r="S60" s="45"/>
      <c r="T60" s="45"/>
      <c r="U60" s="609"/>
      <c r="V60" s="45"/>
      <c r="W60" s="45"/>
      <c r="X60" s="45"/>
      <c r="Y60" s="45"/>
      <c r="Z60" s="45"/>
      <c r="AA60" s="48"/>
      <c r="AB60" s="47"/>
      <c r="AC60" s="47"/>
      <c r="AD60" s="47"/>
      <c r="AE60" s="47"/>
      <c r="AF60" s="124" t="n">
        <v>11</v>
      </c>
    </row>
    <row r="61" s="124" customFormat="true" ht="11.25" hidden="false" customHeight="true" outlineLevel="0" collapsed="false">
      <c r="A61" s="608"/>
      <c r="B61" s="49"/>
      <c r="C61" s="49"/>
      <c r="K61" s="45"/>
      <c r="L61" s="49"/>
      <c r="M61" s="49"/>
      <c r="N61" s="45"/>
      <c r="O61" s="45"/>
      <c r="P61" s="45"/>
      <c r="Q61" s="45"/>
      <c r="R61" s="49"/>
      <c r="S61" s="45"/>
      <c r="T61" s="45"/>
      <c r="U61" s="609"/>
      <c r="V61" s="45"/>
      <c r="W61" s="45"/>
      <c r="X61" s="45"/>
      <c r="Y61" s="45"/>
      <c r="Z61" s="45"/>
      <c r="AA61" s="48"/>
      <c r="AB61" s="47"/>
      <c r="AC61" s="47"/>
      <c r="AD61" s="47"/>
      <c r="AE61" s="47"/>
      <c r="AF61" s="124" t="n">
        <v>11</v>
      </c>
    </row>
    <row r="62" s="124" customFormat="true" ht="11.25" hidden="false" customHeight="true" outlineLevel="0" collapsed="false">
      <c r="A62" s="608"/>
      <c r="B62" s="49"/>
      <c r="C62" s="49"/>
      <c r="K62" s="45"/>
      <c r="L62" s="49"/>
      <c r="M62" s="49"/>
      <c r="N62" s="45"/>
      <c r="O62" s="45"/>
      <c r="P62" s="45"/>
      <c r="Q62" s="45"/>
      <c r="R62" s="49"/>
      <c r="S62" s="45"/>
      <c r="T62" s="45"/>
      <c r="U62" s="609"/>
      <c r="V62" s="45"/>
      <c r="W62" s="45"/>
      <c r="X62" s="45"/>
      <c r="Y62" s="45"/>
      <c r="Z62" s="45"/>
      <c r="AA62" s="48"/>
      <c r="AB62" s="47"/>
      <c r="AC62" s="47"/>
      <c r="AD62" s="47"/>
      <c r="AE62" s="47"/>
      <c r="AF62" s="124" t="n">
        <v>11</v>
      </c>
    </row>
    <row r="63" s="124" customFormat="true" ht="11.25" hidden="false" customHeight="true" outlineLevel="0" collapsed="false">
      <c r="A63" s="608"/>
      <c r="B63" s="49"/>
      <c r="C63" s="49"/>
      <c r="K63" s="45"/>
      <c r="L63" s="49"/>
      <c r="M63" s="49"/>
      <c r="N63" s="45"/>
      <c r="O63" s="45"/>
      <c r="P63" s="45"/>
      <c r="Q63" s="45"/>
      <c r="R63" s="49"/>
      <c r="S63" s="45"/>
      <c r="T63" s="45"/>
      <c r="U63" s="609"/>
      <c r="V63" s="45"/>
      <c r="W63" s="45"/>
      <c r="X63" s="45"/>
      <c r="Y63" s="45"/>
      <c r="Z63" s="45"/>
      <c r="AA63" s="48"/>
      <c r="AB63" s="47"/>
      <c r="AC63" s="47"/>
      <c r="AD63" s="47"/>
      <c r="AE63" s="47"/>
      <c r="AF63" s="124" t="n">
        <v>11</v>
      </c>
    </row>
    <row r="64" s="124" customFormat="true" ht="11.25" hidden="false" customHeight="true" outlineLevel="0" collapsed="false">
      <c r="A64" s="608"/>
      <c r="B64" s="49"/>
      <c r="C64" s="49"/>
      <c r="K64" s="45"/>
      <c r="L64" s="49"/>
      <c r="M64" s="49"/>
      <c r="N64" s="45"/>
      <c r="O64" s="45"/>
      <c r="P64" s="45"/>
      <c r="Q64" s="45"/>
      <c r="R64" s="49"/>
      <c r="S64" s="45"/>
      <c r="T64" s="45"/>
      <c r="U64" s="609"/>
      <c r="V64" s="45"/>
      <c r="W64" s="45"/>
      <c r="X64" s="45"/>
      <c r="Y64" s="45"/>
      <c r="Z64" s="45"/>
      <c r="AA64" s="48"/>
      <c r="AB64" s="47"/>
      <c r="AC64" s="47"/>
      <c r="AD64" s="47"/>
      <c r="AE64" s="47"/>
      <c r="AF64" s="124" t="n">
        <v>11</v>
      </c>
    </row>
    <row r="65" s="124" customFormat="true" ht="11.25" hidden="false" customHeight="true" outlineLevel="0" collapsed="false">
      <c r="A65" s="608"/>
      <c r="B65" s="49"/>
      <c r="C65" s="49"/>
      <c r="K65" s="45"/>
      <c r="L65" s="49"/>
      <c r="M65" s="49"/>
      <c r="N65" s="45"/>
      <c r="O65" s="45"/>
      <c r="P65" s="45"/>
      <c r="Q65" s="45"/>
      <c r="R65" s="49"/>
      <c r="S65" s="45"/>
      <c r="T65" s="45"/>
      <c r="U65" s="609"/>
      <c r="V65" s="45"/>
      <c r="W65" s="45"/>
      <c r="X65" s="45"/>
      <c r="Y65" s="45"/>
      <c r="Z65" s="45"/>
      <c r="AA65" s="48"/>
      <c r="AB65" s="47"/>
      <c r="AC65" s="47"/>
      <c r="AD65" s="47"/>
      <c r="AE65" s="47"/>
      <c r="AF65" s="124" t="n">
        <v>11</v>
      </c>
    </row>
    <row r="66" s="124" customFormat="true" ht="11.25" hidden="false" customHeight="true" outlineLevel="0" collapsed="false">
      <c r="A66" s="608"/>
      <c r="B66" s="49"/>
      <c r="C66" s="49"/>
      <c r="K66" s="45"/>
      <c r="L66" s="49"/>
      <c r="M66" s="49"/>
      <c r="N66" s="45"/>
      <c r="O66" s="45"/>
      <c r="P66" s="45"/>
      <c r="Q66" s="45"/>
      <c r="R66" s="49"/>
      <c r="S66" s="45"/>
      <c r="T66" s="45"/>
      <c r="U66" s="609"/>
      <c r="V66" s="45"/>
      <c r="W66" s="45"/>
      <c r="X66" s="45"/>
      <c r="Y66" s="45"/>
      <c r="Z66" s="45"/>
      <c r="AA66" s="48"/>
      <c r="AB66" s="47"/>
      <c r="AC66" s="47"/>
      <c r="AD66" s="47"/>
      <c r="AE66" s="47"/>
      <c r="AF66" s="124" t="n">
        <v>11</v>
      </c>
    </row>
    <row r="67" s="124" customFormat="true" ht="11.25" hidden="false" customHeight="true" outlineLevel="0" collapsed="false">
      <c r="A67" s="608"/>
      <c r="B67" s="49"/>
      <c r="C67" s="49"/>
      <c r="K67" s="45"/>
      <c r="L67" s="49"/>
      <c r="M67" s="49"/>
      <c r="N67" s="45"/>
      <c r="O67" s="45"/>
      <c r="P67" s="45"/>
      <c r="Q67" s="45"/>
      <c r="R67" s="49"/>
      <c r="S67" s="45"/>
      <c r="T67" s="45"/>
      <c r="U67" s="609"/>
      <c r="V67" s="45"/>
      <c r="W67" s="45"/>
      <c r="X67" s="45"/>
      <c r="Y67" s="45"/>
      <c r="Z67" s="45"/>
      <c r="AA67" s="48"/>
      <c r="AB67" s="47"/>
      <c r="AC67" s="47"/>
      <c r="AD67" s="47"/>
      <c r="AE67" s="47"/>
      <c r="AF67" s="124" t="n">
        <v>11</v>
      </c>
    </row>
    <row r="68" s="124" customFormat="true" ht="11.25" hidden="false" customHeight="true" outlineLevel="0" collapsed="false">
      <c r="A68" s="608"/>
      <c r="B68" s="49"/>
      <c r="C68" s="49"/>
      <c r="K68" s="45"/>
      <c r="L68" s="49"/>
      <c r="M68" s="49"/>
      <c r="N68" s="45"/>
      <c r="O68" s="45"/>
      <c r="P68" s="45"/>
      <c r="Q68" s="45"/>
      <c r="R68" s="49"/>
      <c r="S68" s="45"/>
      <c r="T68" s="45"/>
      <c r="U68" s="609"/>
      <c r="V68" s="45"/>
      <c r="W68" s="45"/>
      <c r="X68" s="45"/>
      <c r="Y68" s="45"/>
      <c r="Z68" s="45"/>
      <c r="AA68" s="48"/>
      <c r="AB68" s="47"/>
      <c r="AC68" s="47"/>
      <c r="AD68" s="47"/>
      <c r="AE68" s="47"/>
      <c r="AF68" s="124" t="n">
        <v>11</v>
      </c>
    </row>
    <row r="69" s="124" customFormat="true" ht="11.25" hidden="false" customHeight="true" outlineLevel="0" collapsed="false">
      <c r="A69" s="608"/>
      <c r="B69" s="49"/>
      <c r="C69" s="49"/>
      <c r="K69" s="45"/>
      <c r="L69" s="49"/>
      <c r="M69" s="49"/>
      <c r="N69" s="45"/>
      <c r="O69" s="45"/>
      <c r="P69" s="45"/>
      <c r="Q69" s="45"/>
      <c r="R69" s="49"/>
      <c r="S69" s="45"/>
      <c r="T69" s="45"/>
      <c r="U69" s="609"/>
      <c r="V69" s="45"/>
      <c r="W69" s="45"/>
      <c r="X69" s="45"/>
      <c r="Y69" s="45"/>
      <c r="Z69" s="45"/>
      <c r="AA69" s="48"/>
      <c r="AB69" s="47"/>
      <c r="AC69" s="47"/>
      <c r="AD69" s="47"/>
      <c r="AE69" s="47"/>
      <c r="AF69" s="124" t="n">
        <v>11</v>
      </c>
    </row>
    <row r="70" s="124" customFormat="true" ht="11.25" hidden="false" customHeight="true" outlineLevel="0" collapsed="false">
      <c r="A70" s="608"/>
      <c r="B70" s="49"/>
      <c r="C70" s="49"/>
      <c r="K70" s="45"/>
      <c r="L70" s="49"/>
      <c r="M70" s="49"/>
      <c r="N70" s="45"/>
      <c r="O70" s="45"/>
      <c r="P70" s="45"/>
      <c r="Q70" s="45"/>
      <c r="R70" s="49"/>
      <c r="S70" s="45"/>
      <c r="T70" s="45"/>
      <c r="U70" s="609"/>
      <c r="V70" s="45"/>
      <c r="W70" s="45"/>
      <c r="X70" s="45"/>
      <c r="Y70" s="45"/>
      <c r="Z70" s="45"/>
      <c r="AA70" s="48"/>
      <c r="AB70" s="47"/>
      <c r="AC70" s="47"/>
      <c r="AD70" s="47"/>
      <c r="AE70" s="47"/>
      <c r="AF70" s="124" t="n">
        <v>11</v>
      </c>
    </row>
    <row r="71" s="124" customFormat="true" ht="11.25" hidden="false" customHeight="true" outlineLevel="0" collapsed="false">
      <c r="A71" s="608"/>
      <c r="B71" s="49"/>
      <c r="C71" s="49"/>
      <c r="K71" s="45"/>
      <c r="L71" s="49"/>
      <c r="M71" s="49"/>
      <c r="N71" s="45"/>
      <c r="O71" s="45"/>
      <c r="P71" s="45"/>
      <c r="Q71" s="45"/>
      <c r="R71" s="49"/>
      <c r="S71" s="45"/>
      <c r="T71" s="45"/>
      <c r="U71" s="609"/>
      <c r="V71" s="45"/>
      <c r="W71" s="45"/>
      <c r="X71" s="45"/>
      <c r="Y71" s="45"/>
      <c r="Z71" s="45"/>
      <c r="AA71" s="48"/>
      <c r="AB71" s="47"/>
      <c r="AC71" s="47"/>
      <c r="AD71" s="47"/>
      <c r="AE71" s="47"/>
      <c r="AF71" s="124" t="n">
        <v>11</v>
      </c>
    </row>
    <row r="72" s="124" customFormat="true" ht="11.25" hidden="false" customHeight="true" outlineLevel="0" collapsed="false">
      <c r="A72" s="608"/>
      <c r="B72" s="49"/>
      <c r="C72" s="49"/>
      <c r="K72" s="45"/>
      <c r="L72" s="49"/>
      <c r="M72" s="49"/>
      <c r="N72" s="45"/>
      <c r="O72" s="45"/>
      <c r="P72" s="45"/>
      <c r="Q72" s="45"/>
      <c r="R72" s="49"/>
      <c r="S72" s="45"/>
      <c r="T72" s="45"/>
      <c r="U72" s="609"/>
      <c r="V72" s="45"/>
      <c r="W72" s="45"/>
      <c r="X72" s="45"/>
      <c r="Y72" s="45"/>
      <c r="Z72" s="45"/>
      <c r="AA72" s="48"/>
      <c r="AB72" s="47"/>
      <c r="AC72" s="47"/>
      <c r="AD72" s="47"/>
      <c r="AE72" s="47"/>
      <c r="AF72" s="124" t="n">
        <v>11</v>
      </c>
    </row>
    <row r="73" s="124" customFormat="true" ht="11.25" hidden="false" customHeight="true" outlineLevel="0" collapsed="false">
      <c r="A73" s="608"/>
      <c r="B73" s="49"/>
      <c r="C73" s="49"/>
      <c r="K73" s="45"/>
      <c r="L73" s="49"/>
      <c r="M73" s="49"/>
      <c r="N73" s="45"/>
      <c r="O73" s="45"/>
      <c r="P73" s="45"/>
      <c r="Q73" s="45"/>
      <c r="R73" s="49"/>
      <c r="S73" s="45"/>
      <c r="T73" s="45"/>
      <c r="U73" s="609"/>
      <c r="V73" s="45"/>
      <c r="W73" s="45"/>
      <c r="X73" s="45"/>
      <c r="Y73" s="45"/>
      <c r="Z73" s="45"/>
      <c r="AA73" s="48"/>
      <c r="AB73" s="47"/>
      <c r="AC73" s="47"/>
      <c r="AD73" s="47"/>
      <c r="AE73" s="47"/>
      <c r="AF73" s="124" t="n">
        <v>11</v>
      </c>
    </row>
    <row r="74" s="124" customFormat="true" ht="11.25" hidden="false" customHeight="true" outlineLevel="0" collapsed="false">
      <c r="A74" s="608"/>
      <c r="B74" s="49"/>
      <c r="C74" s="49"/>
      <c r="K74" s="45"/>
      <c r="L74" s="49"/>
      <c r="M74" s="49"/>
      <c r="N74" s="45"/>
      <c r="O74" s="45"/>
      <c r="P74" s="45"/>
      <c r="Q74" s="45"/>
      <c r="R74" s="49"/>
      <c r="S74" s="45"/>
      <c r="T74" s="45"/>
      <c r="U74" s="609"/>
      <c r="V74" s="45"/>
      <c r="W74" s="45"/>
      <c r="X74" s="45"/>
      <c r="Y74" s="45"/>
      <c r="Z74" s="45"/>
      <c r="AA74" s="48"/>
      <c r="AB74" s="47"/>
      <c r="AC74" s="47"/>
      <c r="AD74" s="47"/>
      <c r="AE74" s="47"/>
      <c r="AF74" s="124" t="n">
        <v>11</v>
      </c>
    </row>
    <row r="75" s="124" customFormat="true" ht="11.25" hidden="false" customHeight="true" outlineLevel="0" collapsed="false">
      <c r="A75" s="608"/>
      <c r="B75" s="49"/>
      <c r="C75" s="49"/>
      <c r="K75" s="45"/>
      <c r="L75" s="49"/>
      <c r="M75" s="49"/>
      <c r="N75" s="45"/>
      <c r="O75" s="45"/>
      <c r="P75" s="45"/>
      <c r="Q75" s="45"/>
      <c r="R75" s="49"/>
      <c r="S75" s="45"/>
      <c r="T75" s="45"/>
      <c r="U75" s="609"/>
      <c r="V75" s="45"/>
      <c r="W75" s="45"/>
      <c r="X75" s="45"/>
      <c r="Y75" s="45"/>
      <c r="Z75" s="45"/>
      <c r="AA75" s="48"/>
      <c r="AB75" s="47"/>
      <c r="AC75" s="47"/>
      <c r="AD75" s="47"/>
      <c r="AE75" s="47"/>
      <c r="AF75" s="124" t="n">
        <v>11</v>
      </c>
    </row>
    <row r="76" s="124" customFormat="true" ht="11.25" hidden="false" customHeight="true" outlineLevel="0" collapsed="false">
      <c r="A76" s="608"/>
      <c r="B76" s="49"/>
      <c r="C76" s="49"/>
      <c r="K76" s="45"/>
      <c r="L76" s="49"/>
      <c r="M76" s="49"/>
      <c r="N76" s="45"/>
      <c r="O76" s="45"/>
      <c r="P76" s="45"/>
      <c r="Q76" s="45"/>
      <c r="R76" s="49"/>
      <c r="S76" s="45"/>
      <c r="T76" s="45"/>
      <c r="U76" s="609"/>
      <c r="V76" s="45"/>
      <c r="W76" s="45"/>
      <c r="X76" s="45"/>
      <c r="Y76" s="45"/>
      <c r="Z76" s="45"/>
      <c r="AA76" s="48"/>
      <c r="AB76" s="47"/>
      <c r="AC76" s="47"/>
      <c r="AD76" s="47"/>
      <c r="AE76" s="47"/>
      <c r="AF76" s="124" t="n">
        <v>11</v>
      </c>
    </row>
    <row r="77" s="124" customFormat="true" ht="11.25" hidden="false" customHeight="true" outlineLevel="0" collapsed="false">
      <c r="A77" s="608"/>
      <c r="B77" s="49"/>
      <c r="C77" s="49"/>
      <c r="K77" s="45"/>
      <c r="L77" s="49"/>
      <c r="M77" s="49"/>
      <c r="N77" s="45"/>
      <c r="O77" s="45"/>
      <c r="P77" s="45"/>
      <c r="Q77" s="45"/>
      <c r="R77" s="49"/>
      <c r="S77" s="45"/>
      <c r="T77" s="45"/>
      <c r="U77" s="609"/>
      <c r="V77" s="45"/>
      <c r="W77" s="45"/>
      <c r="X77" s="45"/>
      <c r="Y77" s="45"/>
      <c r="Z77" s="45"/>
      <c r="AA77" s="48"/>
      <c r="AB77" s="47"/>
      <c r="AC77" s="47"/>
      <c r="AD77" s="47"/>
      <c r="AE77" s="47"/>
      <c r="AF77" s="124" t="n">
        <v>11</v>
      </c>
    </row>
    <row r="78" s="124" customFormat="true" ht="11.25" hidden="false" customHeight="true" outlineLevel="0" collapsed="false">
      <c r="A78" s="608"/>
      <c r="B78" s="49"/>
      <c r="C78" s="49"/>
      <c r="K78" s="45"/>
      <c r="L78" s="49"/>
      <c r="M78" s="49"/>
      <c r="N78" s="45"/>
      <c r="O78" s="45"/>
      <c r="P78" s="45"/>
      <c r="Q78" s="45"/>
      <c r="R78" s="49"/>
      <c r="S78" s="45"/>
      <c r="T78" s="45"/>
      <c r="U78" s="609"/>
      <c r="V78" s="45"/>
      <c r="W78" s="45"/>
      <c r="X78" s="45"/>
      <c r="Y78" s="45"/>
      <c r="Z78" s="45"/>
      <c r="AA78" s="48"/>
      <c r="AB78" s="47"/>
      <c r="AC78" s="47"/>
      <c r="AD78" s="47"/>
      <c r="AE78" s="47"/>
      <c r="AF78" s="124" t="n">
        <v>11</v>
      </c>
    </row>
    <row r="79" s="124" customFormat="true" ht="11.25" hidden="false" customHeight="true" outlineLevel="0" collapsed="false">
      <c r="A79" s="608"/>
      <c r="B79" s="49"/>
      <c r="C79" s="49"/>
      <c r="K79" s="45"/>
      <c r="L79" s="49"/>
      <c r="M79" s="49"/>
      <c r="N79" s="45"/>
      <c r="O79" s="45"/>
      <c r="P79" s="45"/>
      <c r="Q79" s="45"/>
      <c r="R79" s="49"/>
      <c r="S79" s="45"/>
      <c r="T79" s="45"/>
      <c r="U79" s="609"/>
      <c r="V79" s="45"/>
      <c r="W79" s="45"/>
      <c r="X79" s="45"/>
      <c r="Y79" s="45"/>
      <c r="Z79" s="45"/>
      <c r="AA79" s="48"/>
      <c r="AB79" s="47"/>
      <c r="AC79" s="47"/>
      <c r="AD79" s="47"/>
      <c r="AE79" s="47"/>
      <c r="AF79" s="124" t="n">
        <v>11</v>
      </c>
    </row>
    <row r="80" s="124" customFormat="true" ht="11.25" hidden="false" customHeight="true" outlineLevel="0" collapsed="false">
      <c r="A80" s="608"/>
      <c r="B80" s="49"/>
      <c r="C80" s="49"/>
      <c r="K80" s="45"/>
      <c r="L80" s="49"/>
      <c r="M80" s="49"/>
      <c r="N80" s="45"/>
      <c r="O80" s="45"/>
      <c r="P80" s="45"/>
      <c r="Q80" s="45"/>
      <c r="R80" s="49"/>
      <c r="S80" s="45"/>
      <c r="T80" s="45"/>
      <c r="U80" s="609"/>
      <c r="V80" s="45"/>
      <c r="W80" s="45"/>
      <c r="X80" s="45"/>
      <c r="Y80" s="45"/>
      <c r="Z80" s="45"/>
      <c r="AA80" s="48"/>
      <c r="AB80" s="47"/>
      <c r="AC80" s="47"/>
      <c r="AD80" s="47"/>
      <c r="AE80" s="47"/>
      <c r="AF80" s="124" t="n">
        <v>11</v>
      </c>
    </row>
    <row r="81" s="124" customFormat="true" ht="11.25" hidden="false" customHeight="true" outlineLevel="0" collapsed="false">
      <c r="A81" s="608"/>
      <c r="B81" s="49"/>
      <c r="C81" s="49"/>
      <c r="K81" s="45"/>
      <c r="L81" s="49"/>
      <c r="M81" s="49"/>
      <c r="N81" s="45"/>
      <c r="O81" s="45"/>
      <c r="P81" s="45"/>
      <c r="Q81" s="45"/>
      <c r="R81" s="49"/>
      <c r="S81" s="45"/>
      <c r="T81" s="45"/>
      <c r="U81" s="609"/>
      <c r="V81" s="45"/>
      <c r="W81" s="45"/>
      <c r="X81" s="45"/>
      <c r="Y81" s="45"/>
      <c r="Z81" s="45"/>
      <c r="AA81" s="48"/>
      <c r="AB81" s="47"/>
      <c r="AC81" s="47"/>
      <c r="AD81" s="47"/>
      <c r="AE81" s="47"/>
      <c r="AF81" s="124" t="n">
        <v>11</v>
      </c>
    </row>
    <row r="82" s="124" customFormat="true" ht="11.25" hidden="false" customHeight="true" outlineLevel="0" collapsed="false">
      <c r="A82" s="608"/>
      <c r="B82" s="49"/>
      <c r="C82" s="49"/>
      <c r="K82" s="45"/>
      <c r="L82" s="49"/>
      <c r="M82" s="49"/>
      <c r="N82" s="45"/>
      <c r="O82" s="45"/>
      <c r="P82" s="45"/>
      <c r="Q82" s="45"/>
      <c r="R82" s="49"/>
      <c r="S82" s="45"/>
      <c r="T82" s="45"/>
      <c r="U82" s="609"/>
      <c r="V82" s="45"/>
      <c r="W82" s="45"/>
      <c r="X82" s="45"/>
      <c r="Y82" s="45"/>
      <c r="Z82" s="45"/>
      <c r="AA82" s="48"/>
      <c r="AB82" s="47"/>
      <c r="AC82" s="47"/>
      <c r="AD82" s="47"/>
      <c r="AE82" s="47"/>
      <c r="AF82" s="124" t="n">
        <v>11</v>
      </c>
    </row>
    <row r="83" s="124" customFormat="true" ht="11.25" hidden="false" customHeight="true" outlineLevel="0" collapsed="false">
      <c r="A83" s="608"/>
      <c r="B83" s="49"/>
      <c r="C83" s="49"/>
      <c r="K83" s="45"/>
      <c r="L83" s="49"/>
      <c r="M83" s="49"/>
      <c r="N83" s="45"/>
      <c r="O83" s="45"/>
      <c r="P83" s="45"/>
      <c r="Q83" s="45"/>
      <c r="R83" s="49"/>
      <c r="S83" s="45"/>
      <c r="T83" s="45"/>
      <c r="U83" s="609"/>
      <c r="V83" s="45"/>
      <c r="W83" s="45"/>
      <c r="X83" s="45"/>
      <c r="Y83" s="45"/>
      <c r="Z83" s="45"/>
      <c r="AA83" s="48"/>
      <c r="AB83" s="47"/>
      <c r="AC83" s="47"/>
      <c r="AD83" s="47"/>
      <c r="AE83" s="47"/>
      <c r="AF83" s="124" t="n">
        <v>11</v>
      </c>
    </row>
    <row r="84" s="124" customFormat="true" ht="11.25" hidden="false" customHeight="true" outlineLevel="0" collapsed="false">
      <c r="A84" s="608"/>
      <c r="B84" s="49"/>
      <c r="C84" s="49"/>
      <c r="K84" s="45"/>
      <c r="L84" s="49"/>
      <c r="M84" s="49"/>
      <c r="N84" s="45"/>
      <c r="O84" s="45"/>
      <c r="P84" s="45"/>
      <c r="Q84" s="45"/>
      <c r="R84" s="49"/>
      <c r="S84" s="45"/>
      <c r="T84" s="45"/>
      <c r="U84" s="609"/>
      <c r="V84" s="45"/>
      <c r="W84" s="45"/>
      <c r="X84" s="45"/>
      <c r="Y84" s="45"/>
      <c r="Z84" s="45"/>
      <c r="AA84" s="48"/>
      <c r="AB84" s="47"/>
      <c r="AC84" s="47"/>
      <c r="AD84" s="47"/>
      <c r="AE84" s="47"/>
      <c r="AF84" s="124" t="n">
        <v>11</v>
      </c>
    </row>
    <row r="85" s="124" customFormat="true" ht="11.25" hidden="false" customHeight="true" outlineLevel="0" collapsed="false">
      <c r="A85" s="608"/>
      <c r="B85" s="49"/>
      <c r="C85" s="49"/>
      <c r="K85" s="45"/>
      <c r="L85" s="49"/>
      <c r="M85" s="49"/>
      <c r="N85" s="45"/>
      <c r="O85" s="45"/>
      <c r="P85" s="45"/>
      <c r="Q85" s="45"/>
      <c r="R85" s="49"/>
      <c r="S85" s="45"/>
      <c r="T85" s="45"/>
      <c r="U85" s="609"/>
      <c r="V85" s="45"/>
      <c r="W85" s="45"/>
      <c r="X85" s="45"/>
      <c r="Y85" s="45"/>
      <c r="Z85" s="45"/>
      <c r="AA85" s="48"/>
      <c r="AB85" s="47"/>
      <c r="AC85" s="47"/>
      <c r="AD85" s="47"/>
      <c r="AE85" s="47"/>
      <c r="AF85" s="124" t="n">
        <v>11</v>
      </c>
    </row>
    <row r="86" s="124" customFormat="true" ht="11.25" hidden="false" customHeight="true" outlineLevel="0" collapsed="false">
      <c r="A86" s="608"/>
      <c r="B86" s="49"/>
      <c r="C86" s="49"/>
      <c r="K86" s="45"/>
      <c r="L86" s="49"/>
      <c r="M86" s="49"/>
      <c r="N86" s="45"/>
      <c r="O86" s="45"/>
      <c r="P86" s="45"/>
      <c r="Q86" s="45"/>
      <c r="R86" s="49"/>
      <c r="S86" s="45"/>
      <c r="T86" s="45"/>
      <c r="U86" s="609"/>
      <c r="V86" s="45"/>
      <c r="W86" s="45"/>
      <c r="X86" s="45"/>
      <c r="Y86" s="45"/>
      <c r="Z86" s="45"/>
      <c r="AA86" s="48"/>
      <c r="AB86" s="47"/>
      <c r="AC86" s="47"/>
      <c r="AD86" s="47"/>
      <c r="AE86" s="47"/>
      <c r="AF86" s="124" t="n">
        <v>11</v>
      </c>
    </row>
    <row r="87" s="124" customFormat="true" ht="11.25" hidden="false" customHeight="true" outlineLevel="0" collapsed="false">
      <c r="A87" s="608"/>
      <c r="B87" s="49"/>
      <c r="C87" s="49"/>
      <c r="K87" s="45"/>
      <c r="L87" s="49"/>
      <c r="M87" s="49"/>
      <c r="N87" s="45"/>
      <c r="O87" s="45"/>
      <c r="P87" s="45"/>
      <c r="Q87" s="45"/>
      <c r="R87" s="49"/>
      <c r="S87" s="45"/>
      <c r="T87" s="45"/>
      <c r="U87" s="609"/>
      <c r="V87" s="45"/>
      <c r="W87" s="45"/>
      <c r="X87" s="45"/>
      <c r="Y87" s="45"/>
      <c r="Z87" s="45"/>
      <c r="AA87" s="48"/>
      <c r="AB87" s="47"/>
      <c r="AC87" s="47"/>
      <c r="AD87" s="47"/>
      <c r="AE87" s="47"/>
      <c r="AF87" s="124" t="n">
        <v>11</v>
      </c>
    </row>
    <row r="88" s="124" customFormat="true" ht="11.25" hidden="false" customHeight="true" outlineLevel="0" collapsed="false">
      <c r="A88" s="608"/>
      <c r="B88" s="49"/>
      <c r="C88" s="49"/>
      <c r="K88" s="45"/>
      <c r="L88" s="49"/>
      <c r="M88" s="49"/>
      <c r="N88" s="45"/>
      <c r="O88" s="45"/>
      <c r="P88" s="45"/>
      <c r="Q88" s="45"/>
      <c r="R88" s="49"/>
      <c r="S88" s="45"/>
      <c r="T88" s="45"/>
      <c r="U88" s="609"/>
      <c r="V88" s="45"/>
      <c r="W88" s="45"/>
      <c r="X88" s="45"/>
      <c r="Y88" s="45"/>
      <c r="Z88" s="45"/>
      <c r="AA88" s="48"/>
      <c r="AB88" s="47"/>
      <c r="AC88" s="47"/>
      <c r="AD88" s="47"/>
      <c r="AE88" s="47"/>
      <c r="AF88" s="124" t="n">
        <v>11</v>
      </c>
    </row>
    <row r="89" s="124" customFormat="true" ht="11.25" hidden="false" customHeight="true" outlineLevel="0" collapsed="false">
      <c r="A89" s="608"/>
      <c r="B89" s="49"/>
      <c r="C89" s="49"/>
      <c r="K89" s="45"/>
      <c r="L89" s="49"/>
      <c r="M89" s="49"/>
      <c r="N89" s="45"/>
      <c r="O89" s="45"/>
      <c r="P89" s="45"/>
      <c r="Q89" s="45"/>
      <c r="R89" s="49"/>
      <c r="S89" s="45"/>
      <c r="T89" s="45"/>
      <c r="U89" s="609"/>
      <c r="V89" s="45"/>
      <c r="W89" s="45"/>
      <c r="X89" s="45"/>
      <c r="Y89" s="45"/>
      <c r="Z89" s="45"/>
      <c r="AA89" s="48"/>
      <c r="AB89" s="47"/>
      <c r="AC89" s="47"/>
      <c r="AD89" s="47"/>
      <c r="AE89" s="47"/>
      <c r="AF89" s="124" t="n">
        <v>11</v>
      </c>
    </row>
    <row r="90" s="124" customFormat="true" ht="11.25" hidden="false" customHeight="true" outlineLevel="0" collapsed="false">
      <c r="A90" s="608"/>
      <c r="B90" s="49"/>
      <c r="C90" s="49"/>
      <c r="K90" s="45"/>
      <c r="L90" s="49"/>
      <c r="M90" s="49"/>
      <c r="N90" s="45"/>
      <c r="O90" s="45"/>
      <c r="P90" s="45"/>
      <c r="Q90" s="45"/>
      <c r="R90" s="49"/>
      <c r="S90" s="45"/>
      <c r="T90" s="45"/>
      <c r="U90" s="609"/>
      <c r="V90" s="45"/>
      <c r="W90" s="45"/>
      <c r="X90" s="45"/>
      <c r="Y90" s="45"/>
      <c r="Z90" s="45"/>
      <c r="AA90" s="48"/>
      <c r="AB90" s="47"/>
      <c r="AC90" s="47"/>
      <c r="AD90" s="47"/>
      <c r="AE90" s="47"/>
      <c r="AF90" s="124" t="n">
        <v>11</v>
      </c>
    </row>
    <row r="91" s="124" customFormat="true" ht="11.25" hidden="false" customHeight="true" outlineLevel="0" collapsed="false">
      <c r="A91" s="608"/>
      <c r="B91" s="49"/>
      <c r="C91" s="49"/>
      <c r="K91" s="45"/>
      <c r="L91" s="49"/>
      <c r="M91" s="49"/>
      <c r="N91" s="45"/>
      <c r="O91" s="45"/>
      <c r="P91" s="45"/>
      <c r="Q91" s="45"/>
      <c r="R91" s="49"/>
      <c r="S91" s="45"/>
      <c r="T91" s="45"/>
      <c r="U91" s="609"/>
      <c r="V91" s="45"/>
      <c r="W91" s="45"/>
      <c r="X91" s="45"/>
      <c r="Y91" s="45"/>
      <c r="Z91" s="45"/>
      <c r="AA91" s="48"/>
      <c r="AB91" s="47"/>
      <c r="AC91" s="47"/>
      <c r="AD91" s="47"/>
      <c r="AE91" s="47"/>
      <c r="AF91" s="124" t="n">
        <v>11</v>
      </c>
    </row>
    <row r="92" s="124" customFormat="true" ht="11.25" hidden="false" customHeight="true" outlineLevel="0" collapsed="false">
      <c r="A92" s="608"/>
      <c r="B92" s="49"/>
      <c r="C92" s="49"/>
      <c r="K92" s="45"/>
      <c r="L92" s="49"/>
      <c r="M92" s="49"/>
      <c r="N92" s="45"/>
      <c r="O92" s="45"/>
      <c r="P92" s="45"/>
      <c r="Q92" s="45"/>
      <c r="R92" s="49"/>
      <c r="S92" s="45"/>
      <c r="T92" s="45"/>
      <c r="U92" s="609"/>
      <c r="V92" s="45"/>
      <c r="W92" s="45"/>
      <c r="X92" s="45"/>
      <c r="Y92" s="45"/>
      <c r="Z92" s="45"/>
      <c r="AA92" s="48"/>
      <c r="AB92" s="47"/>
      <c r="AC92" s="47"/>
      <c r="AD92" s="47"/>
      <c r="AE92" s="47"/>
      <c r="AF92" s="124" t="n">
        <v>11</v>
      </c>
    </row>
    <row r="93" s="124" customFormat="true" ht="11.25" hidden="false" customHeight="true" outlineLevel="0" collapsed="false">
      <c r="A93" s="608"/>
      <c r="B93" s="49"/>
      <c r="C93" s="49"/>
      <c r="K93" s="45"/>
      <c r="L93" s="49"/>
      <c r="M93" s="49"/>
      <c r="N93" s="45"/>
      <c r="O93" s="45"/>
      <c r="P93" s="45"/>
      <c r="Q93" s="45"/>
      <c r="R93" s="49"/>
      <c r="S93" s="45"/>
      <c r="T93" s="45"/>
      <c r="U93" s="609"/>
      <c r="V93" s="45"/>
      <c r="W93" s="45"/>
      <c r="X93" s="45"/>
      <c r="Y93" s="45"/>
      <c r="Z93" s="45"/>
      <c r="AA93" s="48"/>
      <c r="AB93" s="47"/>
      <c r="AC93" s="47"/>
      <c r="AD93" s="47"/>
      <c r="AE93" s="47"/>
      <c r="AF93" s="124" t="n">
        <v>11</v>
      </c>
    </row>
    <row r="94" s="124" customFormat="true" ht="11.25" hidden="false" customHeight="true" outlineLevel="0" collapsed="false">
      <c r="A94" s="608"/>
      <c r="B94" s="49"/>
      <c r="C94" s="49"/>
      <c r="K94" s="45"/>
      <c r="L94" s="49"/>
      <c r="M94" s="49"/>
      <c r="N94" s="45"/>
      <c r="O94" s="45"/>
      <c r="P94" s="45"/>
      <c r="Q94" s="45"/>
      <c r="R94" s="49"/>
      <c r="S94" s="45"/>
      <c r="T94" s="45"/>
      <c r="U94" s="609"/>
      <c r="V94" s="45"/>
      <c r="W94" s="45"/>
      <c r="X94" s="45"/>
      <c r="Y94" s="45"/>
      <c r="Z94" s="45"/>
      <c r="AA94" s="48"/>
      <c r="AB94" s="47"/>
      <c r="AC94" s="47"/>
      <c r="AD94" s="47"/>
      <c r="AE94" s="47"/>
      <c r="AF94" s="124" t="n">
        <v>11</v>
      </c>
    </row>
    <row r="95" s="124" customFormat="true" ht="11.25" hidden="false" customHeight="true" outlineLevel="0" collapsed="false">
      <c r="A95" s="608"/>
      <c r="B95" s="49"/>
      <c r="C95" s="49"/>
      <c r="K95" s="45"/>
      <c r="L95" s="49"/>
      <c r="M95" s="49"/>
      <c r="N95" s="45"/>
      <c r="O95" s="45"/>
      <c r="P95" s="45"/>
      <c r="Q95" s="45"/>
      <c r="R95" s="49"/>
      <c r="S95" s="45"/>
      <c r="T95" s="45"/>
      <c r="U95" s="609"/>
      <c r="V95" s="45"/>
      <c r="W95" s="45"/>
      <c r="X95" s="45"/>
      <c r="Y95" s="45"/>
      <c r="Z95" s="45"/>
      <c r="AA95" s="48"/>
      <c r="AB95" s="47"/>
      <c r="AC95" s="47"/>
      <c r="AD95" s="47"/>
      <c r="AE95" s="47"/>
      <c r="AF95" s="124" t="n">
        <v>11</v>
      </c>
    </row>
    <row r="96" s="124" customFormat="true" ht="11.25" hidden="false" customHeight="true" outlineLevel="0" collapsed="false">
      <c r="A96" s="608"/>
      <c r="B96" s="49"/>
      <c r="C96" s="49"/>
      <c r="K96" s="45"/>
      <c r="L96" s="49"/>
      <c r="M96" s="49"/>
      <c r="N96" s="45"/>
      <c r="O96" s="45"/>
      <c r="P96" s="45"/>
      <c r="Q96" s="45"/>
      <c r="R96" s="49"/>
      <c r="S96" s="45"/>
      <c r="T96" s="45"/>
      <c r="U96" s="609"/>
      <c r="V96" s="45"/>
      <c r="W96" s="45"/>
      <c r="X96" s="45"/>
      <c r="Y96" s="45"/>
      <c r="Z96" s="45"/>
      <c r="AA96" s="48"/>
      <c r="AB96" s="47"/>
      <c r="AC96" s="47"/>
      <c r="AD96" s="47"/>
      <c r="AE96" s="47"/>
      <c r="AF96" s="124" t="n">
        <v>11</v>
      </c>
    </row>
    <row r="97" s="124" customFormat="true" ht="11.25" hidden="false" customHeight="true" outlineLevel="0" collapsed="false">
      <c r="A97" s="608"/>
      <c r="B97" s="49"/>
      <c r="C97" s="49"/>
      <c r="K97" s="45"/>
      <c r="L97" s="49"/>
      <c r="M97" s="49"/>
      <c r="N97" s="45"/>
      <c r="O97" s="45"/>
      <c r="P97" s="45"/>
      <c r="Q97" s="45"/>
      <c r="R97" s="49"/>
      <c r="S97" s="45"/>
      <c r="T97" s="45"/>
      <c r="U97" s="609"/>
      <c r="V97" s="45"/>
      <c r="W97" s="45"/>
      <c r="X97" s="45"/>
      <c r="Y97" s="45"/>
      <c r="Z97" s="45"/>
      <c r="AA97" s="48"/>
      <c r="AB97" s="47"/>
      <c r="AC97" s="47"/>
      <c r="AD97" s="47"/>
      <c r="AE97" s="47"/>
      <c r="AF97" s="124" t="n">
        <v>11</v>
      </c>
    </row>
    <row r="98" s="124" customFormat="true" ht="11.25" hidden="false" customHeight="true" outlineLevel="0" collapsed="false">
      <c r="A98" s="608"/>
      <c r="B98" s="49"/>
      <c r="C98" s="49"/>
      <c r="K98" s="45"/>
      <c r="L98" s="49"/>
      <c r="M98" s="49"/>
      <c r="N98" s="45"/>
      <c r="O98" s="45"/>
      <c r="P98" s="45"/>
      <c r="Q98" s="45"/>
      <c r="R98" s="49"/>
      <c r="S98" s="45"/>
      <c r="T98" s="45"/>
      <c r="U98" s="609"/>
      <c r="V98" s="45"/>
      <c r="W98" s="45"/>
      <c r="X98" s="45"/>
      <c r="Y98" s="45"/>
      <c r="Z98" s="45"/>
      <c r="AA98" s="48"/>
      <c r="AB98" s="47"/>
      <c r="AC98" s="47"/>
      <c r="AD98" s="47"/>
      <c r="AE98" s="47"/>
      <c r="AF98" s="124" t="n">
        <v>11</v>
      </c>
    </row>
    <row r="99" s="124" customFormat="true" ht="11.25" hidden="false" customHeight="true" outlineLevel="0" collapsed="false">
      <c r="A99" s="608"/>
      <c r="B99" s="49"/>
      <c r="C99" s="49"/>
      <c r="K99" s="45"/>
      <c r="L99" s="49"/>
      <c r="M99" s="49"/>
      <c r="N99" s="45"/>
      <c r="O99" s="45"/>
      <c r="P99" s="45"/>
      <c r="Q99" s="45"/>
      <c r="R99" s="49"/>
      <c r="S99" s="45"/>
      <c r="T99" s="45"/>
      <c r="U99" s="609"/>
      <c r="V99" s="45"/>
      <c r="W99" s="45"/>
      <c r="X99" s="45"/>
      <c r="Y99" s="45"/>
      <c r="Z99" s="45"/>
      <c r="AA99" s="48"/>
      <c r="AB99" s="47"/>
      <c r="AC99" s="47"/>
      <c r="AD99" s="47"/>
      <c r="AE99" s="47"/>
      <c r="AF99" s="124" t="n">
        <v>11</v>
      </c>
    </row>
    <row r="100" s="124" customFormat="true" ht="11.25" hidden="false" customHeight="true" outlineLevel="0" collapsed="false">
      <c r="A100" s="608"/>
      <c r="B100" s="49"/>
      <c r="C100" s="49"/>
      <c r="K100" s="45"/>
      <c r="L100" s="49"/>
      <c r="M100" s="49"/>
      <c r="N100" s="45"/>
      <c r="O100" s="45"/>
      <c r="P100" s="45"/>
      <c r="Q100" s="45"/>
      <c r="R100" s="49"/>
      <c r="S100" s="45"/>
      <c r="T100" s="45"/>
      <c r="U100" s="609"/>
      <c r="V100" s="45"/>
      <c r="W100" s="45"/>
      <c r="X100" s="45"/>
      <c r="Y100" s="45"/>
      <c r="Z100" s="45"/>
      <c r="AA100" s="48"/>
      <c r="AB100" s="47"/>
      <c r="AC100" s="47"/>
      <c r="AD100" s="47"/>
      <c r="AE100" s="47"/>
      <c r="AF100" s="124" t="n">
        <v>11</v>
      </c>
    </row>
    <row r="101" s="124" customFormat="true" ht="11.25" hidden="false" customHeight="true" outlineLevel="0" collapsed="false">
      <c r="A101" s="608"/>
      <c r="B101" s="49"/>
      <c r="C101" s="49"/>
      <c r="K101" s="45"/>
      <c r="L101" s="49"/>
      <c r="M101" s="49"/>
      <c r="N101" s="45"/>
      <c r="O101" s="45"/>
      <c r="P101" s="45"/>
      <c r="Q101" s="45"/>
      <c r="R101" s="49"/>
      <c r="S101" s="45"/>
      <c r="T101" s="45"/>
      <c r="U101" s="609"/>
      <c r="V101" s="45"/>
      <c r="W101" s="45"/>
      <c r="X101" s="45"/>
      <c r="Y101" s="45"/>
      <c r="Z101" s="45"/>
      <c r="AA101" s="48"/>
      <c r="AB101" s="47"/>
      <c r="AC101" s="47"/>
      <c r="AD101" s="47"/>
      <c r="AE101" s="47"/>
      <c r="AF101" s="124" t="n">
        <v>11</v>
      </c>
    </row>
    <row r="102" s="124" customFormat="true" ht="11.25" hidden="false" customHeight="true" outlineLevel="0" collapsed="false">
      <c r="A102" s="608"/>
      <c r="B102" s="49"/>
      <c r="C102" s="49"/>
      <c r="K102" s="45"/>
      <c r="L102" s="49"/>
      <c r="M102" s="49"/>
      <c r="N102" s="45"/>
      <c r="O102" s="45"/>
      <c r="P102" s="45"/>
      <c r="Q102" s="45"/>
      <c r="R102" s="49"/>
      <c r="S102" s="45"/>
      <c r="T102" s="45"/>
      <c r="U102" s="609"/>
      <c r="V102" s="45"/>
      <c r="W102" s="45"/>
      <c r="X102" s="45"/>
      <c r="Y102" s="45"/>
      <c r="Z102" s="45"/>
      <c r="AA102" s="48"/>
      <c r="AB102" s="47"/>
      <c r="AC102" s="47"/>
      <c r="AD102" s="47"/>
      <c r="AE102" s="47"/>
      <c r="AF102" s="124" t="n">
        <v>11</v>
      </c>
    </row>
    <row r="103" s="124" customFormat="true" ht="11.25" hidden="false" customHeight="true" outlineLevel="0" collapsed="false">
      <c r="A103" s="608"/>
      <c r="B103" s="49"/>
      <c r="C103" s="49"/>
      <c r="K103" s="45"/>
      <c r="L103" s="49"/>
      <c r="M103" s="49"/>
      <c r="N103" s="45"/>
      <c r="O103" s="45"/>
      <c r="P103" s="45"/>
      <c r="Q103" s="45"/>
      <c r="R103" s="49"/>
      <c r="S103" s="45"/>
      <c r="T103" s="45"/>
      <c r="U103" s="609"/>
      <c r="V103" s="45"/>
      <c r="W103" s="45"/>
      <c r="X103" s="45"/>
      <c r="Y103" s="45"/>
      <c r="Z103" s="45"/>
      <c r="AA103" s="48"/>
      <c r="AB103" s="47"/>
      <c r="AC103" s="47"/>
      <c r="AD103" s="47"/>
      <c r="AE103" s="47"/>
      <c r="AF103" s="124" t="n">
        <v>11</v>
      </c>
    </row>
    <row r="104" s="124" customFormat="true" ht="11.25" hidden="false" customHeight="true" outlineLevel="0" collapsed="false">
      <c r="A104" s="608"/>
      <c r="B104" s="49"/>
      <c r="C104" s="49"/>
      <c r="K104" s="45"/>
      <c r="L104" s="49"/>
      <c r="M104" s="49"/>
      <c r="N104" s="45"/>
      <c r="O104" s="45"/>
      <c r="P104" s="45"/>
      <c r="Q104" s="45"/>
      <c r="R104" s="49"/>
      <c r="S104" s="45"/>
      <c r="T104" s="45"/>
      <c r="U104" s="609"/>
      <c r="V104" s="45"/>
      <c r="W104" s="45"/>
      <c r="X104" s="45"/>
      <c r="Y104" s="45"/>
      <c r="Z104" s="45"/>
      <c r="AA104" s="48"/>
      <c r="AB104" s="47"/>
      <c r="AC104" s="47"/>
      <c r="AD104" s="47"/>
      <c r="AE104" s="47"/>
      <c r="AF104" s="124" t="n">
        <v>11</v>
      </c>
    </row>
    <row r="105" s="124" customFormat="true" ht="11.25" hidden="false" customHeight="true" outlineLevel="0" collapsed="false">
      <c r="A105" s="608"/>
      <c r="B105" s="49"/>
      <c r="C105" s="49"/>
      <c r="K105" s="45"/>
      <c r="L105" s="49"/>
      <c r="M105" s="49"/>
      <c r="N105" s="45"/>
      <c r="O105" s="45"/>
      <c r="P105" s="45"/>
      <c r="Q105" s="45"/>
      <c r="R105" s="49"/>
      <c r="S105" s="45"/>
      <c r="T105" s="45"/>
      <c r="U105" s="609"/>
      <c r="V105" s="45"/>
      <c r="W105" s="45"/>
      <c r="X105" s="45"/>
      <c r="Y105" s="45"/>
      <c r="Z105" s="45"/>
      <c r="AA105" s="48"/>
      <c r="AB105" s="47"/>
      <c r="AC105" s="47"/>
      <c r="AD105" s="47"/>
      <c r="AE105" s="47"/>
      <c r="AF105" s="124" t="n">
        <v>11</v>
      </c>
    </row>
    <row r="106" s="124" customFormat="true" ht="11.25" hidden="false" customHeight="true" outlineLevel="0" collapsed="false">
      <c r="A106" s="608"/>
      <c r="B106" s="49"/>
      <c r="C106" s="49"/>
      <c r="K106" s="45"/>
      <c r="L106" s="49"/>
      <c r="M106" s="49"/>
      <c r="N106" s="45"/>
      <c r="O106" s="45"/>
      <c r="P106" s="45"/>
      <c r="Q106" s="45"/>
      <c r="R106" s="49"/>
      <c r="S106" s="45"/>
      <c r="T106" s="45"/>
      <c r="U106" s="609"/>
      <c r="V106" s="45"/>
      <c r="W106" s="45"/>
      <c r="X106" s="45"/>
      <c r="Y106" s="45"/>
      <c r="Z106" s="45"/>
      <c r="AA106" s="48"/>
      <c r="AB106" s="47"/>
      <c r="AC106" s="47"/>
      <c r="AD106" s="47"/>
      <c r="AE106" s="47"/>
      <c r="AF106" s="124" t="n">
        <v>11</v>
      </c>
    </row>
    <row r="107" s="124" customFormat="true" ht="11.25" hidden="false" customHeight="true" outlineLevel="0" collapsed="false">
      <c r="A107" s="608"/>
      <c r="B107" s="49"/>
      <c r="C107" s="49"/>
      <c r="K107" s="45"/>
      <c r="L107" s="49"/>
      <c r="M107" s="49"/>
      <c r="N107" s="45"/>
      <c r="O107" s="45"/>
      <c r="P107" s="45"/>
      <c r="Q107" s="45"/>
      <c r="R107" s="49"/>
      <c r="S107" s="45"/>
      <c r="T107" s="45"/>
      <c r="U107" s="609"/>
      <c r="V107" s="45"/>
      <c r="W107" s="45"/>
      <c r="X107" s="45"/>
      <c r="Y107" s="45"/>
      <c r="Z107" s="45"/>
      <c r="AA107" s="48"/>
      <c r="AB107" s="47"/>
      <c r="AC107" s="47"/>
      <c r="AD107" s="47"/>
      <c r="AE107" s="47"/>
      <c r="AF107" s="124" t="n">
        <v>11</v>
      </c>
    </row>
    <row r="108" s="124" customFormat="true" ht="11.25" hidden="false" customHeight="true" outlineLevel="0" collapsed="false">
      <c r="A108" s="608"/>
      <c r="B108" s="49"/>
      <c r="C108" s="49"/>
      <c r="K108" s="45"/>
      <c r="L108" s="49"/>
      <c r="M108" s="49"/>
      <c r="N108" s="45"/>
      <c r="O108" s="45"/>
      <c r="P108" s="45"/>
      <c r="Q108" s="45"/>
      <c r="R108" s="49"/>
      <c r="S108" s="45"/>
      <c r="T108" s="45"/>
      <c r="U108" s="609"/>
      <c r="V108" s="45"/>
      <c r="W108" s="45"/>
      <c r="X108" s="45"/>
      <c r="Y108" s="45"/>
      <c r="Z108" s="45"/>
      <c r="AA108" s="48"/>
      <c r="AB108" s="47"/>
      <c r="AC108" s="47"/>
      <c r="AD108" s="47"/>
      <c r="AE108" s="47"/>
      <c r="AF108" s="124" t="n">
        <v>11</v>
      </c>
    </row>
    <row r="109" s="124" customFormat="true" ht="11.25" hidden="false" customHeight="true" outlineLevel="0" collapsed="false">
      <c r="A109" s="608"/>
      <c r="B109" s="49"/>
      <c r="C109" s="49"/>
      <c r="K109" s="45"/>
      <c r="L109" s="49"/>
      <c r="M109" s="49"/>
      <c r="N109" s="45"/>
      <c r="O109" s="45"/>
      <c r="P109" s="45"/>
      <c r="Q109" s="45"/>
      <c r="R109" s="49"/>
      <c r="S109" s="45"/>
      <c r="T109" s="45"/>
      <c r="U109" s="609"/>
      <c r="V109" s="45"/>
      <c r="W109" s="45"/>
      <c r="X109" s="45"/>
      <c r="Y109" s="45"/>
      <c r="Z109" s="45"/>
      <c r="AA109" s="48"/>
      <c r="AB109" s="47"/>
      <c r="AC109" s="47"/>
      <c r="AD109" s="47"/>
      <c r="AE109" s="47"/>
      <c r="AF109" s="124" t="n">
        <v>11</v>
      </c>
    </row>
    <row r="110" s="124" customFormat="true" ht="11.25" hidden="false" customHeight="true" outlineLevel="0" collapsed="false">
      <c r="A110" s="608"/>
      <c r="B110" s="49"/>
      <c r="C110" s="49"/>
      <c r="K110" s="45"/>
      <c r="L110" s="49"/>
      <c r="M110" s="49"/>
      <c r="N110" s="45"/>
      <c r="O110" s="45"/>
      <c r="P110" s="45"/>
      <c r="Q110" s="45"/>
      <c r="R110" s="49"/>
      <c r="S110" s="45"/>
      <c r="T110" s="45"/>
      <c r="U110" s="609"/>
      <c r="V110" s="45"/>
      <c r="W110" s="45"/>
      <c r="X110" s="45"/>
      <c r="Y110" s="45"/>
      <c r="Z110" s="45"/>
      <c r="AA110" s="48"/>
      <c r="AB110" s="47"/>
      <c r="AC110" s="47"/>
      <c r="AD110" s="47"/>
      <c r="AE110" s="47"/>
      <c r="AF110" s="124" t="n">
        <v>11</v>
      </c>
    </row>
    <row r="111" s="124" customFormat="true" ht="11.25" hidden="false" customHeight="true" outlineLevel="0" collapsed="false">
      <c r="A111" s="608"/>
      <c r="B111" s="49"/>
      <c r="C111" s="49"/>
      <c r="K111" s="45"/>
      <c r="L111" s="49"/>
      <c r="M111" s="49"/>
      <c r="N111" s="45"/>
      <c r="O111" s="45"/>
      <c r="P111" s="45"/>
      <c r="Q111" s="45"/>
      <c r="R111" s="49"/>
      <c r="S111" s="45"/>
      <c r="T111" s="45"/>
      <c r="U111" s="609"/>
      <c r="V111" s="45"/>
      <c r="W111" s="45"/>
      <c r="X111" s="45"/>
      <c r="Y111" s="45"/>
      <c r="Z111" s="45"/>
      <c r="AA111" s="48"/>
      <c r="AB111" s="47"/>
      <c r="AC111" s="47"/>
      <c r="AD111" s="47"/>
      <c r="AE111" s="47"/>
      <c r="AF111" s="124" t="n">
        <v>11</v>
      </c>
    </row>
    <row r="112" s="124" customFormat="true" ht="11.25" hidden="false" customHeight="true" outlineLevel="0" collapsed="false">
      <c r="A112" s="608"/>
      <c r="B112" s="49"/>
      <c r="C112" s="49"/>
      <c r="K112" s="45"/>
      <c r="L112" s="49"/>
      <c r="M112" s="49"/>
      <c r="N112" s="45"/>
      <c r="O112" s="45"/>
      <c r="P112" s="45"/>
      <c r="Q112" s="45"/>
      <c r="R112" s="49"/>
      <c r="S112" s="45"/>
      <c r="T112" s="45"/>
      <c r="U112" s="609"/>
      <c r="V112" s="45"/>
      <c r="W112" s="45"/>
      <c r="X112" s="45"/>
      <c r="Y112" s="45"/>
      <c r="Z112" s="45"/>
      <c r="AA112" s="48"/>
      <c r="AB112" s="47"/>
      <c r="AC112" s="47"/>
      <c r="AD112" s="47"/>
      <c r="AE112" s="47"/>
      <c r="AF112" s="124" t="n">
        <v>11</v>
      </c>
    </row>
    <row r="113" s="124" customFormat="true" ht="11.25" hidden="false" customHeight="true" outlineLevel="0" collapsed="false">
      <c r="A113" s="608"/>
      <c r="B113" s="49"/>
      <c r="C113" s="49"/>
      <c r="K113" s="45"/>
      <c r="L113" s="49"/>
      <c r="M113" s="49"/>
      <c r="N113" s="45"/>
      <c r="O113" s="45"/>
      <c r="P113" s="45"/>
      <c r="Q113" s="45"/>
      <c r="R113" s="49"/>
      <c r="S113" s="45"/>
      <c r="T113" s="45"/>
      <c r="U113" s="609"/>
      <c r="V113" s="45"/>
      <c r="W113" s="45"/>
      <c r="X113" s="45"/>
      <c r="Y113" s="45"/>
      <c r="Z113" s="45"/>
      <c r="AA113" s="48"/>
      <c r="AB113" s="47"/>
      <c r="AC113" s="47"/>
      <c r="AD113" s="47"/>
      <c r="AE113" s="47"/>
      <c r="AF113" s="124" t="n">
        <v>11</v>
      </c>
    </row>
    <row r="114" s="124" customFormat="true" ht="11.25" hidden="false" customHeight="true" outlineLevel="0" collapsed="false">
      <c r="A114" s="608"/>
      <c r="B114" s="49"/>
      <c r="C114" s="49"/>
      <c r="K114" s="45"/>
      <c r="L114" s="49"/>
      <c r="M114" s="49"/>
      <c r="N114" s="45"/>
      <c r="O114" s="45"/>
      <c r="P114" s="45"/>
      <c r="Q114" s="45"/>
      <c r="R114" s="49"/>
      <c r="S114" s="45"/>
      <c r="T114" s="45"/>
      <c r="U114" s="609"/>
      <c r="V114" s="45"/>
      <c r="W114" s="45"/>
      <c r="X114" s="45"/>
      <c r="Y114" s="45"/>
      <c r="Z114" s="45"/>
      <c r="AA114" s="48"/>
      <c r="AB114" s="47"/>
      <c r="AC114" s="47"/>
      <c r="AD114" s="47"/>
      <c r="AE114" s="47"/>
      <c r="AF114" s="124" t="n">
        <v>11</v>
      </c>
    </row>
    <row r="115" s="124" customFormat="true" ht="11.25" hidden="false" customHeight="true" outlineLevel="0" collapsed="false">
      <c r="A115" s="608"/>
      <c r="B115" s="49"/>
      <c r="C115" s="49"/>
      <c r="K115" s="45"/>
      <c r="L115" s="49"/>
      <c r="M115" s="49"/>
      <c r="N115" s="45"/>
      <c r="O115" s="45"/>
      <c r="P115" s="45"/>
      <c r="Q115" s="45"/>
      <c r="R115" s="49"/>
      <c r="S115" s="45"/>
      <c r="T115" s="45"/>
      <c r="U115" s="609"/>
      <c r="V115" s="45"/>
      <c r="W115" s="45"/>
      <c r="X115" s="45"/>
      <c r="Y115" s="45"/>
      <c r="Z115" s="45"/>
      <c r="AA115" s="48"/>
      <c r="AB115" s="47"/>
      <c r="AC115" s="47"/>
      <c r="AD115" s="47"/>
      <c r="AE115" s="47"/>
      <c r="AF115" s="124" t="n">
        <v>11</v>
      </c>
    </row>
    <row r="116" s="124" customFormat="true" ht="11.25" hidden="false" customHeight="true" outlineLevel="0" collapsed="false">
      <c r="A116" s="608"/>
      <c r="B116" s="49"/>
      <c r="C116" s="49"/>
      <c r="K116" s="45"/>
      <c r="L116" s="49"/>
      <c r="M116" s="49"/>
      <c r="N116" s="45"/>
      <c r="O116" s="45"/>
      <c r="P116" s="45"/>
      <c r="Q116" s="45"/>
      <c r="R116" s="49"/>
      <c r="S116" s="45"/>
      <c r="T116" s="45"/>
      <c r="U116" s="609"/>
      <c r="V116" s="45"/>
      <c r="W116" s="45"/>
      <c r="X116" s="45"/>
      <c r="Y116" s="45"/>
      <c r="Z116" s="45"/>
      <c r="AA116" s="48"/>
      <c r="AB116" s="47"/>
      <c r="AC116" s="47"/>
      <c r="AD116" s="47"/>
      <c r="AE116" s="47"/>
      <c r="AF116" s="124" t="n">
        <v>11</v>
      </c>
    </row>
    <row r="117" s="124" customFormat="true" ht="11.25" hidden="false" customHeight="true" outlineLevel="0" collapsed="false">
      <c r="A117" s="608"/>
      <c r="B117" s="49"/>
      <c r="C117" s="49"/>
      <c r="K117" s="45"/>
      <c r="L117" s="49"/>
      <c r="M117" s="49"/>
      <c r="N117" s="45"/>
      <c r="O117" s="45"/>
      <c r="P117" s="45"/>
      <c r="Q117" s="45"/>
      <c r="R117" s="49"/>
      <c r="S117" s="45"/>
      <c r="T117" s="45"/>
      <c r="U117" s="609"/>
      <c r="V117" s="45"/>
      <c r="W117" s="45"/>
      <c r="X117" s="45"/>
      <c r="Y117" s="45"/>
      <c r="Z117" s="45"/>
      <c r="AA117" s="48"/>
      <c r="AB117" s="47"/>
      <c r="AC117" s="47"/>
      <c r="AD117" s="47"/>
      <c r="AE117" s="47"/>
      <c r="AF117" s="124" t="n">
        <v>11</v>
      </c>
    </row>
    <row r="118" s="124" customFormat="true" ht="11.25" hidden="false" customHeight="true" outlineLevel="0" collapsed="false">
      <c r="A118" s="608"/>
      <c r="B118" s="49"/>
      <c r="C118" s="49"/>
      <c r="K118" s="45"/>
      <c r="L118" s="49"/>
      <c r="M118" s="49"/>
      <c r="N118" s="45"/>
      <c r="O118" s="45"/>
      <c r="P118" s="45"/>
      <c r="Q118" s="45"/>
      <c r="R118" s="49"/>
      <c r="S118" s="45"/>
      <c r="T118" s="45"/>
      <c r="U118" s="609"/>
      <c r="V118" s="45"/>
      <c r="W118" s="45"/>
      <c r="X118" s="45"/>
      <c r="Y118" s="45"/>
      <c r="Z118" s="45"/>
      <c r="AA118" s="48"/>
      <c r="AB118" s="47"/>
      <c r="AC118" s="47"/>
      <c r="AD118" s="47"/>
      <c r="AE118" s="47"/>
      <c r="AF118" s="124" t="n">
        <v>11</v>
      </c>
    </row>
    <row r="119" s="124" customFormat="true" ht="11.25" hidden="false" customHeight="true" outlineLevel="0" collapsed="false">
      <c r="A119" s="608"/>
      <c r="B119" s="49"/>
      <c r="C119" s="49"/>
      <c r="K119" s="45"/>
      <c r="L119" s="49"/>
      <c r="M119" s="49"/>
      <c r="N119" s="45"/>
      <c r="O119" s="45"/>
      <c r="P119" s="45"/>
      <c r="Q119" s="45"/>
      <c r="R119" s="49"/>
      <c r="S119" s="45"/>
      <c r="T119" s="45"/>
      <c r="U119" s="609"/>
      <c r="V119" s="45"/>
      <c r="W119" s="45"/>
      <c r="X119" s="45"/>
      <c r="Y119" s="45"/>
      <c r="Z119" s="45"/>
      <c r="AA119" s="48"/>
      <c r="AB119" s="47"/>
      <c r="AC119" s="47"/>
      <c r="AD119" s="47"/>
      <c r="AE119" s="47"/>
      <c r="AF119" s="124" t="n">
        <v>11</v>
      </c>
    </row>
    <row r="120" s="124" customFormat="true" ht="11.25" hidden="false" customHeight="true" outlineLevel="0" collapsed="false">
      <c r="A120" s="608"/>
      <c r="B120" s="49"/>
      <c r="C120" s="49"/>
      <c r="K120" s="45"/>
      <c r="L120" s="49"/>
      <c r="M120" s="49"/>
      <c r="N120" s="45"/>
      <c r="O120" s="45"/>
      <c r="P120" s="45"/>
      <c r="Q120" s="45"/>
      <c r="R120" s="49"/>
      <c r="S120" s="45"/>
      <c r="T120" s="45"/>
      <c r="U120" s="609"/>
      <c r="V120" s="45"/>
      <c r="W120" s="45"/>
      <c r="X120" s="45"/>
      <c r="Y120" s="45"/>
      <c r="Z120" s="45"/>
      <c r="AA120" s="48"/>
      <c r="AB120" s="47"/>
      <c r="AC120" s="47"/>
      <c r="AD120" s="47"/>
      <c r="AE120" s="47"/>
      <c r="AF120" s="124" t="n">
        <v>11</v>
      </c>
    </row>
    <row r="121" s="124" customFormat="true" ht="11.25" hidden="false" customHeight="true" outlineLevel="0" collapsed="false">
      <c r="A121" s="608"/>
      <c r="B121" s="49"/>
      <c r="C121" s="49"/>
      <c r="K121" s="45"/>
      <c r="L121" s="49"/>
      <c r="M121" s="49"/>
      <c r="N121" s="45"/>
      <c r="O121" s="45"/>
      <c r="P121" s="45"/>
      <c r="Q121" s="45"/>
      <c r="R121" s="49"/>
      <c r="S121" s="45"/>
      <c r="T121" s="45"/>
      <c r="U121" s="609"/>
      <c r="V121" s="45"/>
      <c r="W121" s="45"/>
      <c r="X121" s="45"/>
      <c r="Y121" s="45"/>
      <c r="Z121" s="45"/>
      <c r="AA121" s="48"/>
      <c r="AB121" s="47"/>
      <c r="AC121" s="47"/>
      <c r="AD121" s="47"/>
      <c r="AE121" s="47"/>
      <c r="AF121" s="124" t="n">
        <v>11</v>
      </c>
    </row>
    <row r="122" s="124" customFormat="true" ht="11.25" hidden="false" customHeight="true" outlineLevel="0" collapsed="false">
      <c r="A122" s="608"/>
      <c r="B122" s="49"/>
      <c r="C122" s="49"/>
      <c r="K122" s="45"/>
      <c r="L122" s="49"/>
      <c r="M122" s="49"/>
      <c r="N122" s="45"/>
      <c r="O122" s="45"/>
      <c r="P122" s="45"/>
      <c r="Q122" s="45"/>
      <c r="R122" s="49"/>
      <c r="S122" s="45"/>
      <c r="T122" s="45"/>
      <c r="U122" s="609"/>
      <c r="V122" s="45"/>
      <c r="W122" s="45"/>
      <c r="X122" s="45"/>
      <c r="Y122" s="45"/>
      <c r="Z122" s="45"/>
      <c r="AA122" s="48"/>
      <c r="AB122" s="47"/>
      <c r="AC122" s="47"/>
      <c r="AD122" s="47"/>
      <c r="AE122" s="47"/>
      <c r="AF122" s="124" t="n">
        <v>11</v>
      </c>
    </row>
    <row r="123" s="124" customFormat="true" ht="11.25" hidden="false" customHeight="true" outlineLevel="0" collapsed="false">
      <c r="A123" s="608"/>
      <c r="B123" s="49"/>
      <c r="C123" s="49"/>
      <c r="K123" s="45"/>
      <c r="L123" s="49"/>
      <c r="M123" s="49"/>
      <c r="N123" s="45"/>
      <c r="O123" s="45"/>
      <c r="P123" s="45"/>
      <c r="Q123" s="45"/>
      <c r="R123" s="49"/>
      <c r="S123" s="45"/>
      <c r="T123" s="45"/>
      <c r="U123" s="609"/>
      <c r="V123" s="45"/>
      <c r="W123" s="45"/>
      <c r="X123" s="45"/>
      <c r="Y123" s="45"/>
      <c r="Z123" s="45"/>
      <c r="AA123" s="48"/>
      <c r="AB123" s="47"/>
      <c r="AC123" s="47"/>
      <c r="AD123" s="47"/>
      <c r="AE123" s="47"/>
      <c r="AF123" s="124" t="n">
        <v>11</v>
      </c>
    </row>
    <row r="124" s="124" customFormat="true" ht="11.25" hidden="false" customHeight="true" outlineLevel="0" collapsed="false">
      <c r="A124" s="608"/>
      <c r="B124" s="49"/>
      <c r="C124" s="49"/>
      <c r="K124" s="45"/>
      <c r="L124" s="49"/>
      <c r="M124" s="49"/>
      <c r="N124" s="45"/>
      <c r="O124" s="45"/>
      <c r="P124" s="45"/>
      <c r="Q124" s="45"/>
      <c r="R124" s="49"/>
      <c r="S124" s="45"/>
      <c r="T124" s="45"/>
      <c r="U124" s="609"/>
      <c r="V124" s="45"/>
      <c r="W124" s="45"/>
      <c r="X124" s="45"/>
      <c r="Y124" s="45"/>
      <c r="Z124" s="45"/>
      <c r="AA124" s="48"/>
      <c r="AB124" s="47"/>
      <c r="AC124" s="47"/>
      <c r="AD124" s="47"/>
      <c r="AE124" s="47"/>
      <c r="AF124" s="124" t="n">
        <v>11</v>
      </c>
    </row>
    <row r="125" s="124" customFormat="true" ht="11.25" hidden="false" customHeight="true" outlineLevel="0" collapsed="false">
      <c r="A125" s="608"/>
      <c r="B125" s="49"/>
      <c r="C125" s="49"/>
      <c r="K125" s="45"/>
      <c r="L125" s="49"/>
      <c r="M125" s="49"/>
      <c r="N125" s="45"/>
      <c r="O125" s="45"/>
      <c r="P125" s="45"/>
      <c r="Q125" s="45"/>
      <c r="R125" s="49"/>
      <c r="S125" s="45"/>
      <c r="T125" s="45"/>
      <c r="U125" s="609"/>
      <c r="V125" s="45"/>
      <c r="W125" s="45"/>
      <c r="X125" s="45"/>
      <c r="Y125" s="45"/>
      <c r="Z125" s="45"/>
      <c r="AA125" s="48"/>
      <c r="AB125" s="47"/>
      <c r="AC125" s="47"/>
      <c r="AD125" s="47"/>
      <c r="AE125" s="47"/>
      <c r="AF125" s="124" t="n">
        <v>11</v>
      </c>
    </row>
    <row r="126" s="124" customFormat="true" ht="11.25" hidden="false" customHeight="true" outlineLevel="0" collapsed="false">
      <c r="A126" s="608"/>
      <c r="B126" s="49"/>
      <c r="C126" s="49"/>
      <c r="K126" s="45"/>
      <c r="L126" s="49"/>
      <c r="M126" s="49"/>
      <c r="N126" s="45"/>
      <c r="O126" s="45"/>
      <c r="P126" s="45"/>
      <c r="Q126" s="45"/>
      <c r="R126" s="49"/>
      <c r="S126" s="45"/>
      <c r="T126" s="45"/>
      <c r="U126" s="609"/>
      <c r="V126" s="45"/>
      <c r="W126" s="45"/>
      <c r="X126" s="45"/>
      <c r="Y126" s="45"/>
      <c r="Z126" s="45"/>
      <c r="AA126" s="48"/>
      <c r="AB126" s="47"/>
      <c r="AC126" s="47"/>
      <c r="AD126" s="47"/>
      <c r="AE126" s="47"/>
      <c r="AF126" s="124" t="n">
        <v>11</v>
      </c>
    </row>
    <row r="127" s="124" customFormat="true" ht="11.25" hidden="false" customHeight="true" outlineLevel="0" collapsed="false">
      <c r="A127" s="608"/>
      <c r="B127" s="49"/>
      <c r="C127" s="49"/>
      <c r="K127" s="45"/>
      <c r="L127" s="49"/>
      <c r="M127" s="49"/>
      <c r="N127" s="45"/>
      <c r="O127" s="45"/>
      <c r="P127" s="45"/>
      <c r="Q127" s="45"/>
      <c r="R127" s="49"/>
      <c r="S127" s="45"/>
      <c r="T127" s="45"/>
      <c r="U127" s="609"/>
      <c r="V127" s="45"/>
      <c r="W127" s="45"/>
      <c r="X127" s="45"/>
      <c r="Y127" s="45"/>
      <c r="Z127" s="45"/>
      <c r="AA127" s="48"/>
      <c r="AB127" s="47"/>
      <c r="AC127" s="47"/>
      <c r="AD127" s="47"/>
      <c r="AE127" s="47"/>
      <c r="AF127" s="124" t="n">
        <v>11</v>
      </c>
    </row>
    <row r="128" s="124" customFormat="true" ht="11.25" hidden="false" customHeight="true" outlineLevel="0" collapsed="false">
      <c r="A128" s="608"/>
      <c r="B128" s="49"/>
      <c r="C128" s="49"/>
      <c r="K128" s="45"/>
      <c r="L128" s="49"/>
      <c r="M128" s="49"/>
      <c r="N128" s="45"/>
      <c r="O128" s="45"/>
      <c r="P128" s="45"/>
      <c r="Q128" s="45"/>
      <c r="R128" s="49"/>
      <c r="S128" s="45"/>
      <c r="T128" s="45"/>
      <c r="U128" s="609"/>
      <c r="V128" s="45"/>
      <c r="W128" s="45"/>
      <c r="X128" s="45"/>
      <c r="Y128" s="45"/>
      <c r="Z128" s="45"/>
      <c r="AA128" s="48"/>
      <c r="AB128" s="47"/>
      <c r="AC128" s="47"/>
      <c r="AD128" s="47"/>
      <c r="AE128" s="47"/>
      <c r="AF128" s="124" t="n">
        <v>11</v>
      </c>
    </row>
    <row r="129" s="124" customFormat="true" ht="11.25" hidden="false" customHeight="true" outlineLevel="0" collapsed="false">
      <c r="A129" s="608"/>
      <c r="B129" s="49"/>
      <c r="C129" s="49"/>
      <c r="K129" s="45"/>
      <c r="L129" s="49"/>
      <c r="M129" s="49"/>
      <c r="N129" s="45"/>
      <c r="O129" s="45"/>
      <c r="P129" s="45"/>
      <c r="Q129" s="45"/>
      <c r="R129" s="49"/>
      <c r="S129" s="45"/>
      <c r="T129" s="45"/>
      <c r="U129" s="609"/>
      <c r="V129" s="45"/>
      <c r="W129" s="45"/>
      <c r="X129" s="45"/>
      <c r="Y129" s="45"/>
      <c r="Z129" s="45"/>
      <c r="AA129" s="48"/>
      <c r="AB129" s="47"/>
      <c r="AC129" s="47"/>
      <c r="AD129" s="47"/>
      <c r="AE129" s="47"/>
      <c r="AF129" s="124" t="n">
        <v>11</v>
      </c>
    </row>
    <row r="130" s="124" customFormat="true" ht="11.25" hidden="false" customHeight="true" outlineLevel="0" collapsed="false">
      <c r="A130" s="608"/>
      <c r="B130" s="49"/>
      <c r="C130" s="49"/>
      <c r="K130" s="45"/>
      <c r="L130" s="49"/>
      <c r="M130" s="49"/>
      <c r="N130" s="45"/>
      <c r="O130" s="45"/>
      <c r="P130" s="45"/>
      <c r="Q130" s="45"/>
      <c r="R130" s="49"/>
      <c r="S130" s="45"/>
      <c r="T130" s="45"/>
      <c r="U130" s="609"/>
      <c r="V130" s="45"/>
      <c r="W130" s="45"/>
      <c r="X130" s="45"/>
      <c r="Y130" s="45"/>
      <c r="Z130" s="45"/>
      <c r="AA130" s="48"/>
      <c r="AB130" s="47"/>
      <c r="AC130" s="47"/>
      <c r="AD130" s="47"/>
      <c r="AE130" s="47"/>
      <c r="AF130" s="124" t="n">
        <v>11</v>
      </c>
    </row>
    <row r="131" s="124" customFormat="true" ht="11.25" hidden="false" customHeight="true" outlineLevel="0" collapsed="false">
      <c r="A131" s="608"/>
      <c r="B131" s="49"/>
      <c r="C131" s="49"/>
      <c r="K131" s="45"/>
      <c r="L131" s="49"/>
      <c r="M131" s="49"/>
      <c r="N131" s="45"/>
      <c r="O131" s="45"/>
      <c r="P131" s="45"/>
      <c r="Q131" s="45"/>
      <c r="R131" s="49"/>
      <c r="S131" s="45"/>
      <c r="T131" s="45"/>
      <c r="U131" s="609"/>
      <c r="V131" s="45"/>
      <c r="W131" s="45"/>
      <c r="X131" s="45"/>
      <c r="Y131" s="45"/>
      <c r="Z131" s="45"/>
      <c r="AA131" s="48"/>
      <c r="AB131" s="47"/>
      <c r="AC131" s="47"/>
      <c r="AD131" s="47"/>
      <c r="AE131" s="47"/>
      <c r="AF131" s="124" t="n">
        <v>11</v>
      </c>
    </row>
    <row r="132" s="124" customFormat="true" ht="11.25" hidden="false" customHeight="true" outlineLevel="0" collapsed="false">
      <c r="A132" s="608"/>
      <c r="B132" s="49"/>
      <c r="C132" s="49"/>
      <c r="K132" s="45"/>
      <c r="L132" s="49"/>
      <c r="M132" s="49"/>
      <c r="N132" s="45"/>
      <c r="O132" s="45"/>
      <c r="P132" s="45"/>
      <c r="Q132" s="45"/>
      <c r="R132" s="49"/>
      <c r="S132" s="45"/>
      <c r="T132" s="45"/>
      <c r="U132" s="609"/>
      <c r="V132" s="45"/>
      <c r="W132" s="45"/>
      <c r="X132" s="45"/>
      <c r="Y132" s="45"/>
      <c r="Z132" s="45"/>
      <c r="AA132" s="48"/>
      <c r="AB132" s="47"/>
      <c r="AC132" s="47"/>
      <c r="AD132" s="47"/>
      <c r="AE132" s="47"/>
      <c r="AF132" s="124" t="n">
        <v>11</v>
      </c>
    </row>
    <row r="133" s="124" customFormat="true" ht="11.25" hidden="false" customHeight="true" outlineLevel="0" collapsed="false">
      <c r="A133" s="608"/>
      <c r="B133" s="49"/>
      <c r="C133" s="49"/>
      <c r="K133" s="45"/>
      <c r="L133" s="49"/>
      <c r="M133" s="49"/>
      <c r="N133" s="45"/>
      <c r="O133" s="45"/>
      <c r="P133" s="45"/>
      <c r="Q133" s="45"/>
      <c r="R133" s="49"/>
      <c r="S133" s="45"/>
      <c r="T133" s="45"/>
      <c r="U133" s="609"/>
      <c r="V133" s="45"/>
      <c r="W133" s="45"/>
      <c r="X133" s="45"/>
      <c r="Y133" s="45"/>
      <c r="Z133" s="45"/>
      <c r="AA133" s="48"/>
      <c r="AB133" s="47"/>
      <c r="AC133" s="47"/>
      <c r="AD133" s="47"/>
      <c r="AE133" s="47"/>
      <c r="AF133" s="124" t="n">
        <v>11</v>
      </c>
    </row>
    <row r="134" s="124" customFormat="true" ht="11.25" hidden="false" customHeight="true" outlineLevel="0" collapsed="false">
      <c r="A134" s="608"/>
      <c r="B134" s="49"/>
      <c r="C134" s="49"/>
      <c r="K134" s="45"/>
      <c r="L134" s="49"/>
      <c r="M134" s="49"/>
      <c r="N134" s="45"/>
      <c r="O134" s="45"/>
      <c r="P134" s="45"/>
      <c r="Q134" s="45"/>
      <c r="R134" s="49"/>
      <c r="S134" s="45"/>
      <c r="T134" s="45"/>
      <c r="U134" s="609"/>
      <c r="V134" s="45"/>
      <c r="W134" s="45"/>
      <c r="X134" s="45"/>
      <c r="Y134" s="45"/>
      <c r="Z134" s="45"/>
      <c r="AA134" s="48"/>
      <c r="AB134" s="47"/>
      <c r="AC134" s="47"/>
      <c r="AD134" s="47"/>
      <c r="AE134" s="47"/>
      <c r="AF134" s="124" t="n">
        <v>11</v>
      </c>
    </row>
    <row r="135" s="124" customFormat="true" ht="11.25" hidden="false" customHeight="true" outlineLevel="0" collapsed="false">
      <c r="A135" s="608"/>
      <c r="B135" s="49"/>
      <c r="C135" s="49"/>
      <c r="K135" s="45"/>
      <c r="L135" s="49"/>
      <c r="M135" s="49"/>
      <c r="N135" s="45"/>
      <c r="O135" s="45"/>
      <c r="P135" s="45"/>
      <c r="Q135" s="45"/>
      <c r="R135" s="49"/>
      <c r="S135" s="45"/>
      <c r="T135" s="45"/>
      <c r="U135" s="609"/>
      <c r="V135" s="45"/>
      <c r="W135" s="45"/>
      <c r="X135" s="45"/>
      <c r="Y135" s="45"/>
      <c r="Z135" s="45"/>
      <c r="AA135" s="48"/>
      <c r="AB135" s="47"/>
      <c r="AC135" s="47"/>
      <c r="AD135" s="47"/>
      <c r="AE135" s="47"/>
      <c r="AF135" s="124" t="n">
        <v>11</v>
      </c>
    </row>
    <row r="136" s="124" customFormat="true" ht="11.25" hidden="false" customHeight="true" outlineLevel="0" collapsed="false">
      <c r="A136" s="608"/>
      <c r="B136" s="49"/>
      <c r="C136" s="49"/>
      <c r="K136" s="45"/>
      <c r="L136" s="49"/>
      <c r="M136" s="49"/>
      <c r="N136" s="45"/>
      <c r="O136" s="45"/>
      <c r="P136" s="45"/>
      <c r="Q136" s="45"/>
      <c r="R136" s="49"/>
      <c r="S136" s="45"/>
      <c r="T136" s="45"/>
      <c r="U136" s="609"/>
      <c r="V136" s="45"/>
      <c r="W136" s="45"/>
      <c r="X136" s="45"/>
      <c r="Y136" s="45"/>
      <c r="Z136" s="45"/>
      <c r="AA136" s="48"/>
      <c r="AB136" s="47"/>
      <c r="AC136" s="47"/>
      <c r="AD136" s="47"/>
      <c r="AE136" s="47"/>
      <c r="AF136" s="124" t="n">
        <v>11</v>
      </c>
    </row>
    <row r="137" s="124" customFormat="true" ht="11.25" hidden="false" customHeight="true" outlineLevel="0" collapsed="false">
      <c r="A137" s="608"/>
      <c r="B137" s="49"/>
      <c r="C137" s="49"/>
      <c r="K137" s="45"/>
      <c r="L137" s="49"/>
      <c r="M137" s="49"/>
      <c r="N137" s="45"/>
      <c r="O137" s="45"/>
      <c r="P137" s="45"/>
      <c r="Q137" s="45"/>
      <c r="R137" s="49"/>
      <c r="S137" s="45"/>
      <c r="T137" s="45"/>
      <c r="U137" s="609"/>
      <c r="V137" s="45"/>
      <c r="W137" s="45"/>
      <c r="X137" s="45"/>
      <c r="Y137" s="45"/>
      <c r="Z137" s="45"/>
      <c r="AA137" s="48"/>
      <c r="AB137" s="47"/>
      <c r="AC137" s="47"/>
      <c r="AD137" s="47"/>
      <c r="AE137" s="47"/>
      <c r="AF137" s="124" t="n">
        <v>11</v>
      </c>
    </row>
    <row r="138" s="124" customFormat="true" ht="11.25" hidden="false" customHeight="true" outlineLevel="0" collapsed="false">
      <c r="A138" s="608"/>
      <c r="B138" s="49"/>
      <c r="C138" s="49"/>
      <c r="K138" s="45"/>
      <c r="L138" s="49"/>
      <c r="M138" s="49"/>
      <c r="N138" s="45"/>
      <c r="O138" s="45"/>
      <c r="P138" s="45"/>
      <c r="Q138" s="45"/>
      <c r="R138" s="49"/>
      <c r="S138" s="45"/>
      <c r="T138" s="45"/>
      <c r="U138" s="609"/>
      <c r="V138" s="45"/>
      <c r="W138" s="45"/>
      <c r="X138" s="45"/>
      <c r="Y138" s="45"/>
      <c r="Z138" s="45"/>
      <c r="AA138" s="48"/>
      <c r="AB138" s="47"/>
      <c r="AC138" s="47"/>
      <c r="AD138" s="47"/>
      <c r="AE138" s="47"/>
      <c r="AF138" s="124" t="n">
        <v>11</v>
      </c>
    </row>
    <row r="139" s="124" customFormat="true" ht="11.25" hidden="false" customHeight="true" outlineLevel="0" collapsed="false">
      <c r="A139" s="608"/>
      <c r="B139" s="49"/>
      <c r="C139" s="49"/>
      <c r="K139" s="45"/>
      <c r="L139" s="49"/>
      <c r="M139" s="49"/>
      <c r="N139" s="45"/>
      <c r="O139" s="45"/>
      <c r="P139" s="45"/>
      <c r="Q139" s="45"/>
      <c r="R139" s="49"/>
      <c r="S139" s="45"/>
      <c r="T139" s="45"/>
      <c r="U139" s="609"/>
      <c r="V139" s="45"/>
      <c r="W139" s="45"/>
      <c r="X139" s="45"/>
      <c r="Y139" s="45"/>
      <c r="Z139" s="45"/>
      <c r="AA139" s="48"/>
      <c r="AB139" s="47"/>
      <c r="AC139" s="47"/>
      <c r="AD139" s="47"/>
      <c r="AE139" s="47"/>
      <c r="AF139" s="124" t="n">
        <v>11</v>
      </c>
    </row>
    <row r="140" s="124" customFormat="true" ht="11.25" hidden="false" customHeight="true" outlineLevel="0" collapsed="false">
      <c r="A140" s="608"/>
      <c r="B140" s="49"/>
      <c r="C140" s="49"/>
      <c r="K140" s="45"/>
      <c r="L140" s="49"/>
      <c r="M140" s="49"/>
      <c r="N140" s="45"/>
      <c r="O140" s="45"/>
      <c r="P140" s="45"/>
      <c r="Q140" s="45"/>
      <c r="R140" s="49"/>
      <c r="S140" s="45"/>
      <c r="T140" s="45"/>
      <c r="U140" s="609"/>
      <c r="V140" s="45"/>
      <c r="W140" s="45"/>
      <c r="X140" s="45"/>
      <c r="Y140" s="45"/>
      <c r="Z140" s="45"/>
      <c r="AA140" s="48"/>
      <c r="AB140" s="47"/>
      <c r="AC140" s="47"/>
      <c r="AD140" s="47"/>
      <c r="AE140" s="47"/>
      <c r="AF140" s="124" t="n">
        <v>11</v>
      </c>
    </row>
    <row r="141" s="124" customFormat="true" ht="11.25" hidden="false" customHeight="true" outlineLevel="0" collapsed="false">
      <c r="A141" s="608"/>
      <c r="B141" s="49"/>
      <c r="C141" s="49"/>
      <c r="K141" s="45"/>
      <c r="L141" s="49"/>
      <c r="M141" s="49"/>
      <c r="N141" s="45"/>
      <c r="O141" s="45"/>
      <c r="P141" s="45"/>
      <c r="Q141" s="45"/>
      <c r="R141" s="49"/>
      <c r="S141" s="45"/>
      <c r="T141" s="45"/>
      <c r="U141" s="609"/>
      <c r="V141" s="45"/>
      <c r="W141" s="45"/>
      <c r="X141" s="45"/>
      <c r="Y141" s="45"/>
      <c r="Z141" s="45"/>
      <c r="AA141" s="48"/>
      <c r="AB141" s="47"/>
      <c r="AC141" s="47"/>
      <c r="AD141" s="47"/>
      <c r="AE141" s="47"/>
      <c r="AF141" s="124" t="n">
        <v>11</v>
      </c>
    </row>
    <row r="142" s="124" customFormat="true" ht="11.25" hidden="false" customHeight="true" outlineLevel="0" collapsed="false">
      <c r="A142" s="608"/>
      <c r="B142" s="49"/>
      <c r="C142" s="49"/>
      <c r="K142" s="45"/>
      <c r="L142" s="49"/>
      <c r="M142" s="49"/>
      <c r="N142" s="45"/>
      <c r="O142" s="45"/>
      <c r="P142" s="45"/>
      <c r="Q142" s="45"/>
      <c r="R142" s="49"/>
      <c r="S142" s="45"/>
      <c r="T142" s="45"/>
      <c r="U142" s="609"/>
      <c r="V142" s="45"/>
      <c r="W142" s="45"/>
      <c r="X142" s="45"/>
      <c r="Y142" s="45"/>
      <c r="Z142" s="45"/>
      <c r="AA142" s="48"/>
      <c r="AB142" s="47"/>
      <c r="AC142" s="47"/>
      <c r="AD142" s="47"/>
      <c r="AE142" s="47"/>
      <c r="AF142" s="124" t="n">
        <v>11</v>
      </c>
    </row>
    <row r="143" s="124" customFormat="true" ht="11.25" hidden="false" customHeight="true" outlineLevel="0" collapsed="false">
      <c r="A143" s="608"/>
      <c r="B143" s="49"/>
      <c r="C143" s="49"/>
      <c r="K143" s="45"/>
      <c r="L143" s="49"/>
      <c r="M143" s="49"/>
      <c r="N143" s="45"/>
      <c r="O143" s="45"/>
      <c r="P143" s="45"/>
      <c r="Q143" s="45"/>
      <c r="R143" s="49"/>
      <c r="S143" s="45"/>
      <c r="T143" s="45"/>
      <c r="U143" s="609"/>
      <c r="V143" s="45"/>
      <c r="W143" s="45"/>
      <c r="X143" s="45"/>
      <c r="Y143" s="45"/>
      <c r="Z143" s="45"/>
      <c r="AA143" s="48"/>
      <c r="AB143" s="47"/>
      <c r="AC143" s="47"/>
      <c r="AD143" s="47"/>
      <c r="AE143" s="47"/>
      <c r="AF143" s="124" t="n">
        <v>11</v>
      </c>
    </row>
    <row r="144" s="124" customFormat="true" ht="11.25" hidden="false" customHeight="true" outlineLevel="0" collapsed="false">
      <c r="A144" s="608"/>
      <c r="B144" s="49"/>
      <c r="C144" s="49"/>
      <c r="K144" s="45"/>
      <c r="L144" s="49"/>
      <c r="M144" s="49"/>
      <c r="N144" s="45"/>
      <c r="O144" s="45"/>
      <c r="P144" s="45"/>
      <c r="Q144" s="45"/>
      <c r="R144" s="49"/>
      <c r="S144" s="45"/>
      <c r="T144" s="45"/>
      <c r="U144" s="609"/>
      <c r="V144" s="45"/>
      <c r="W144" s="45"/>
      <c r="X144" s="45"/>
      <c r="Y144" s="45"/>
      <c r="Z144" s="45"/>
      <c r="AA144" s="48"/>
      <c r="AB144" s="47"/>
      <c r="AC144" s="47"/>
      <c r="AD144" s="47"/>
      <c r="AE144" s="47"/>
      <c r="AF144" s="124" t="n">
        <v>11</v>
      </c>
    </row>
    <row r="145" s="124" customFormat="true" ht="11.25" hidden="false" customHeight="true" outlineLevel="0" collapsed="false">
      <c r="A145" s="608"/>
      <c r="B145" s="49"/>
      <c r="C145" s="49"/>
      <c r="K145" s="45"/>
      <c r="L145" s="49"/>
      <c r="M145" s="49"/>
      <c r="N145" s="45"/>
      <c r="O145" s="45"/>
      <c r="P145" s="45"/>
      <c r="Q145" s="45"/>
      <c r="R145" s="49"/>
      <c r="S145" s="45"/>
      <c r="T145" s="45"/>
      <c r="U145" s="609"/>
      <c r="V145" s="45"/>
      <c r="W145" s="45"/>
      <c r="X145" s="45"/>
      <c r="Y145" s="45"/>
      <c r="Z145" s="45"/>
      <c r="AA145" s="48"/>
      <c r="AB145" s="47"/>
      <c r="AC145" s="47"/>
      <c r="AD145" s="47"/>
      <c r="AE145" s="47"/>
      <c r="AF145" s="124" t="n">
        <v>11</v>
      </c>
    </row>
    <row r="146" s="124" customFormat="true" ht="11.25" hidden="false" customHeight="true" outlineLevel="0" collapsed="false">
      <c r="A146" s="608"/>
      <c r="B146" s="49"/>
      <c r="C146" s="49"/>
      <c r="K146" s="45"/>
      <c r="L146" s="49"/>
      <c r="M146" s="49"/>
      <c r="N146" s="45"/>
      <c r="O146" s="45"/>
      <c r="P146" s="45"/>
      <c r="Q146" s="45"/>
      <c r="R146" s="49"/>
      <c r="S146" s="45"/>
      <c r="T146" s="45"/>
      <c r="U146" s="609"/>
      <c r="V146" s="45"/>
      <c r="W146" s="45"/>
      <c r="X146" s="45"/>
      <c r="Y146" s="45"/>
      <c r="Z146" s="45"/>
      <c r="AA146" s="48"/>
      <c r="AB146" s="47"/>
      <c r="AC146" s="47"/>
      <c r="AD146" s="47"/>
      <c r="AE146" s="47"/>
      <c r="AF146" s="124" t="n">
        <v>11</v>
      </c>
    </row>
    <row r="147" s="124" customFormat="true" ht="11.25" hidden="false" customHeight="true" outlineLevel="0" collapsed="false">
      <c r="A147" s="608"/>
      <c r="B147" s="49"/>
      <c r="C147" s="49"/>
      <c r="K147" s="45"/>
      <c r="L147" s="49"/>
      <c r="M147" s="49"/>
      <c r="N147" s="45"/>
      <c r="O147" s="45"/>
      <c r="P147" s="45"/>
      <c r="Q147" s="45"/>
      <c r="R147" s="49"/>
      <c r="S147" s="45"/>
      <c r="T147" s="45"/>
      <c r="U147" s="609"/>
      <c r="V147" s="45"/>
      <c r="W147" s="45"/>
      <c r="X147" s="45"/>
      <c r="Y147" s="45"/>
      <c r="Z147" s="45"/>
      <c r="AA147" s="48"/>
      <c r="AB147" s="47"/>
      <c r="AC147" s="47"/>
      <c r="AD147" s="47"/>
      <c r="AE147" s="47"/>
      <c r="AF147" s="124" t="n">
        <v>11</v>
      </c>
    </row>
    <row r="148" s="124" customFormat="true" ht="11.25" hidden="false" customHeight="true" outlineLevel="0" collapsed="false">
      <c r="A148" s="608"/>
      <c r="B148" s="49"/>
      <c r="C148" s="49"/>
      <c r="K148" s="45"/>
      <c r="L148" s="49"/>
      <c r="M148" s="49"/>
      <c r="N148" s="45"/>
      <c r="O148" s="45"/>
      <c r="P148" s="45"/>
      <c r="Q148" s="45"/>
      <c r="R148" s="49"/>
      <c r="S148" s="45"/>
      <c r="T148" s="45"/>
      <c r="U148" s="609"/>
      <c r="V148" s="45"/>
      <c r="W148" s="45"/>
      <c r="X148" s="45"/>
      <c r="Y148" s="45"/>
      <c r="Z148" s="45"/>
      <c r="AA148" s="48"/>
      <c r="AB148" s="47"/>
      <c r="AC148" s="47"/>
      <c r="AD148" s="47"/>
      <c r="AE148" s="47"/>
      <c r="AF148" s="124" t="n">
        <v>11</v>
      </c>
    </row>
    <row r="149" s="124" customFormat="true" ht="11.25" hidden="false" customHeight="true" outlineLevel="0" collapsed="false">
      <c r="A149" s="608"/>
      <c r="B149" s="49"/>
      <c r="C149" s="49"/>
      <c r="K149" s="45"/>
      <c r="L149" s="49"/>
      <c r="M149" s="49"/>
      <c r="N149" s="45"/>
      <c r="O149" s="45"/>
      <c r="P149" s="45"/>
      <c r="Q149" s="45"/>
      <c r="R149" s="49"/>
      <c r="S149" s="45"/>
      <c r="T149" s="45"/>
      <c r="U149" s="609"/>
      <c r="V149" s="45"/>
      <c r="W149" s="45"/>
      <c r="X149" s="45"/>
      <c r="Y149" s="45"/>
      <c r="Z149" s="45"/>
      <c r="AA149" s="48"/>
      <c r="AB149" s="47"/>
      <c r="AC149" s="47"/>
      <c r="AD149" s="47"/>
      <c r="AE149" s="47"/>
      <c r="AF149" s="124" t="n">
        <v>11</v>
      </c>
    </row>
    <row r="150" s="124" customFormat="true" ht="11.25" hidden="false" customHeight="true" outlineLevel="0" collapsed="false">
      <c r="A150" s="608"/>
      <c r="B150" s="49"/>
      <c r="C150" s="49"/>
      <c r="K150" s="45"/>
      <c r="L150" s="49"/>
      <c r="M150" s="49"/>
      <c r="N150" s="45"/>
      <c r="O150" s="45"/>
      <c r="P150" s="45"/>
      <c r="Q150" s="45"/>
      <c r="R150" s="49"/>
      <c r="S150" s="45"/>
      <c r="T150" s="45"/>
      <c r="U150" s="609"/>
      <c r="V150" s="45"/>
      <c r="W150" s="45"/>
      <c r="X150" s="45"/>
      <c r="Y150" s="45"/>
      <c r="Z150" s="45"/>
      <c r="AA150" s="48"/>
      <c r="AB150" s="47"/>
      <c r="AC150" s="47"/>
      <c r="AD150" s="47"/>
      <c r="AE150" s="47"/>
      <c r="AF150" s="124" t="n">
        <v>11</v>
      </c>
    </row>
    <row r="151" s="124" customFormat="true" ht="11.25" hidden="false" customHeight="true" outlineLevel="0" collapsed="false">
      <c r="A151" s="608"/>
      <c r="B151" s="49"/>
      <c r="C151" s="49"/>
      <c r="K151" s="45"/>
      <c r="L151" s="49"/>
      <c r="M151" s="49"/>
      <c r="N151" s="45"/>
      <c r="O151" s="45"/>
      <c r="P151" s="45"/>
      <c r="Q151" s="45"/>
      <c r="R151" s="49"/>
      <c r="S151" s="45"/>
      <c r="T151" s="45"/>
      <c r="U151" s="609"/>
      <c r="V151" s="45"/>
      <c r="W151" s="45"/>
      <c r="X151" s="45"/>
      <c r="Y151" s="45"/>
      <c r="Z151" s="45"/>
      <c r="AA151" s="48"/>
      <c r="AB151" s="47"/>
      <c r="AC151" s="47"/>
      <c r="AD151" s="47"/>
      <c r="AE151" s="47"/>
      <c r="AF151" s="124" t="n">
        <v>11</v>
      </c>
    </row>
    <row r="152" s="124" customFormat="true" ht="11.25" hidden="false" customHeight="true" outlineLevel="0" collapsed="false">
      <c r="A152" s="608"/>
      <c r="B152" s="49"/>
      <c r="C152" s="49"/>
      <c r="K152" s="45"/>
      <c r="L152" s="49"/>
      <c r="M152" s="49"/>
      <c r="N152" s="45"/>
      <c r="O152" s="45"/>
      <c r="P152" s="45"/>
      <c r="Q152" s="45"/>
      <c r="R152" s="49"/>
      <c r="S152" s="45"/>
      <c r="T152" s="45"/>
      <c r="U152" s="609"/>
      <c r="V152" s="45"/>
      <c r="W152" s="45"/>
      <c r="X152" s="45"/>
      <c r="Y152" s="45"/>
      <c r="Z152" s="45"/>
      <c r="AA152" s="48"/>
      <c r="AB152" s="47"/>
      <c r="AC152" s="47"/>
      <c r="AD152" s="47"/>
      <c r="AE152" s="47"/>
      <c r="AF152" s="124" t="n">
        <v>11</v>
      </c>
    </row>
    <row r="153" s="124" customFormat="true" ht="11.25" hidden="false" customHeight="true" outlineLevel="0" collapsed="false">
      <c r="A153" s="608"/>
      <c r="B153" s="49"/>
      <c r="C153" s="49"/>
      <c r="K153" s="45"/>
      <c r="L153" s="49"/>
      <c r="M153" s="49"/>
      <c r="N153" s="45"/>
      <c r="O153" s="45"/>
      <c r="P153" s="45"/>
      <c r="Q153" s="45"/>
      <c r="R153" s="49"/>
      <c r="S153" s="45"/>
      <c r="T153" s="45"/>
      <c r="U153" s="609"/>
      <c r="V153" s="45"/>
      <c r="W153" s="45"/>
      <c r="X153" s="45"/>
      <c r="Y153" s="45"/>
      <c r="Z153" s="45"/>
      <c r="AA153" s="48"/>
      <c r="AB153" s="47"/>
      <c r="AC153" s="47"/>
      <c r="AD153" s="47"/>
      <c r="AE153" s="47"/>
      <c r="AF153" s="124" t="n">
        <v>11</v>
      </c>
    </row>
    <row r="154" s="124" customFormat="true" ht="11.25" hidden="false" customHeight="true" outlineLevel="0" collapsed="false">
      <c r="A154" s="608"/>
      <c r="B154" s="49"/>
      <c r="C154" s="49"/>
      <c r="K154" s="45"/>
      <c r="L154" s="49"/>
      <c r="M154" s="49"/>
      <c r="N154" s="45"/>
      <c r="O154" s="45"/>
      <c r="P154" s="45"/>
      <c r="Q154" s="45"/>
      <c r="R154" s="49"/>
      <c r="S154" s="45"/>
      <c r="T154" s="45"/>
      <c r="U154" s="609"/>
      <c r="V154" s="45"/>
      <c r="W154" s="45"/>
      <c r="X154" s="45"/>
      <c r="Y154" s="45"/>
      <c r="Z154" s="45"/>
      <c r="AA154" s="48"/>
      <c r="AB154" s="47"/>
      <c r="AC154" s="47"/>
      <c r="AD154" s="47"/>
      <c r="AE154" s="47"/>
      <c r="AF154" s="124" t="n">
        <v>11</v>
      </c>
    </row>
    <row r="155" s="124" customFormat="true" ht="11.25" hidden="false" customHeight="true" outlineLevel="0" collapsed="false">
      <c r="A155" s="608"/>
      <c r="B155" s="49"/>
      <c r="C155" s="49"/>
      <c r="K155" s="45"/>
      <c r="L155" s="49"/>
      <c r="M155" s="49"/>
      <c r="N155" s="45"/>
      <c r="O155" s="45"/>
      <c r="P155" s="45"/>
      <c r="Q155" s="45"/>
      <c r="R155" s="49"/>
      <c r="S155" s="45"/>
      <c r="T155" s="45"/>
      <c r="U155" s="609"/>
      <c r="V155" s="45"/>
      <c r="W155" s="45"/>
      <c r="X155" s="45"/>
      <c r="Y155" s="45"/>
      <c r="Z155" s="45"/>
      <c r="AA155" s="48"/>
      <c r="AB155" s="47"/>
      <c r="AC155" s="47"/>
      <c r="AD155" s="47"/>
      <c r="AE155" s="47"/>
      <c r="AF155" s="124" t="n">
        <v>11</v>
      </c>
    </row>
    <row r="156" s="124" customFormat="true" ht="11.25" hidden="false" customHeight="true" outlineLevel="0" collapsed="false">
      <c r="A156" s="608"/>
      <c r="B156" s="49"/>
      <c r="C156" s="49"/>
      <c r="K156" s="45"/>
      <c r="L156" s="49"/>
      <c r="M156" s="49"/>
      <c r="N156" s="45"/>
      <c r="O156" s="45"/>
      <c r="P156" s="45"/>
      <c r="Q156" s="45"/>
      <c r="R156" s="49"/>
      <c r="S156" s="45"/>
      <c r="T156" s="45"/>
      <c r="U156" s="609"/>
      <c r="V156" s="45"/>
      <c r="W156" s="45"/>
      <c r="X156" s="45"/>
      <c r="Y156" s="45"/>
      <c r="Z156" s="45"/>
      <c r="AA156" s="48"/>
      <c r="AB156" s="47"/>
      <c r="AC156" s="47"/>
      <c r="AD156" s="47"/>
      <c r="AE156" s="47"/>
      <c r="AF156" s="124" t="n">
        <v>11</v>
      </c>
    </row>
    <row r="157" s="124" customFormat="true" ht="11.25" hidden="false" customHeight="true" outlineLevel="0" collapsed="false">
      <c r="A157" s="608"/>
      <c r="B157" s="49"/>
      <c r="C157" s="49"/>
      <c r="K157" s="45"/>
      <c r="L157" s="49"/>
      <c r="M157" s="49"/>
      <c r="N157" s="45"/>
      <c r="O157" s="45"/>
      <c r="P157" s="45"/>
      <c r="Q157" s="45"/>
      <c r="R157" s="49"/>
      <c r="S157" s="45"/>
      <c r="T157" s="45"/>
      <c r="U157" s="609"/>
      <c r="V157" s="45"/>
      <c r="W157" s="45"/>
      <c r="X157" s="45"/>
      <c r="Y157" s="45"/>
      <c r="Z157" s="45"/>
      <c r="AA157" s="48"/>
      <c r="AB157" s="47"/>
      <c r="AC157" s="47"/>
      <c r="AD157" s="47"/>
      <c r="AE157" s="47"/>
      <c r="AF157" s="124" t="n">
        <v>11</v>
      </c>
    </row>
    <row r="158" s="124" customFormat="true" ht="11.25" hidden="false" customHeight="true" outlineLevel="0" collapsed="false">
      <c r="A158" s="608"/>
      <c r="B158" s="49"/>
      <c r="C158" s="49"/>
      <c r="K158" s="45"/>
      <c r="L158" s="49"/>
      <c r="M158" s="49"/>
      <c r="N158" s="45"/>
      <c r="O158" s="45"/>
      <c r="P158" s="45"/>
      <c r="Q158" s="45"/>
      <c r="R158" s="49"/>
      <c r="S158" s="45"/>
      <c r="T158" s="45"/>
      <c r="U158" s="609"/>
      <c r="V158" s="45"/>
      <c r="W158" s="45"/>
      <c r="X158" s="45"/>
      <c r="Y158" s="45"/>
      <c r="Z158" s="45"/>
      <c r="AA158" s="48"/>
      <c r="AB158" s="47"/>
      <c r="AC158" s="47"/>
      <c r="AD158" s="47"/>
      <c r="AE158" s="47"/>
      <c r="AF158" s="124" t="n">
        <v>11</v>
      </c>
    </row>
    <row r="159" s="124" customFormat="true" ht="11.25" hidden="false" customHeight="true" outlineLevel="0" collapsed="false">
      <c r="A159" s="608"/>
      <c r="B159" s="49"/>
      <c r="C159" s="49"/>
      <c r="K159" s="45"/>
      <c r="L159" s="49"/>
      <c r="M159" s="49"/>
      <c r="N159" s="45"/>
      <c r="O159" s="45"/>
      <c r="P159" s="45"/>
      <c r="Q159" s="45"/>
      <c r="R159" s="49"/>
      <c r="S159" s="45"/>
      <c r="T159" s="45"/>
      <c r="U159" s="609"/>
      <c r="V159" s="45"/>
      <c r="W159" s="45"/>
      <c r="X159" s="45"/>
      <c r="Y159" s="45"/>
      <c r="Z159" s="45"/>
      <c r="AA159" s="48"/>
      <c r="AB159" s="47"/>
      <c r="AC159" s="47"/>
      <c r="AD159" s="47"/>
      <c r="AE159" s="47"/>
      <c r="AF159" s="124" t="n">
        <v>11</v>
      </c>
    </row>
    <row r="160" s="124" customFormat="true" ht="11.25" hidden="false" customHeight="true" outlineLevel="0" collapsed="false">
      <c r="A160" s="608"/>
      <c r="B160" s="49"/>
      <c r="C160" s="49"/>
      <c r="K160" s="45"/>
      <c r="L160" s="49"/>
      <c r="M160" s="49"/>
      <c r="N160" s="45"/>
      <c r="O160" s="45"/>
      <c r="P160" s="45"/>
      <c r="Q160" s="45"/>
      <c r="R160" s="49"/>
      <c r="S160" s="45"/>
      <c r="T160" s="45"/>
      <c r="U160" s="609"/>
      <c r="V160" s="45"/>
      <c r="W160" s="45"/>
      <c r="X160" s="45"/>
      <c r="Y160" s="45"/>
      <c r="Z160" s="45"/>
      <c r="AA160" s="48"/>
      <c r="AB160" s="47"/>
      <c r="AC160" s="47"/>
      <c r="AD160" s="47"/>
      <c r="AE160" s="47"/>
      <c r="AF160" s="124" t="n">
        <v>11</v>
      </c>
    </row>
    <row r="161" s="124" customFormat="true" ht="11.25" hidden="false" customHeight="true" outlineLevel="0" collapsed="false">
      <c r="A161" s="608"/>
      <c r="B161" s="49"/>
      <c r="C161" s="49"/>
      <c r="K161" s="45"/>
      <c r="L161" s="49"/>
      <c r="M161" s="49"/>
      <c r="N161" s="45"/>
      <c r="O161" s="45"/>
      <c r="P161" s="45"/>
      <c r="Q161" s="45"/>
      <c r="R161" s="49"/>
      <c r="S161" s="45"/>
      <c r="T161" s="45"/>
      <c r="U161" s="609"/>
      <c r="V161" s="45"/>
      <c r="W161" s="45"/>
      <c r="X161" s="45"/>
      <c r="Y161" s="45"/>
      <c r="Z161" s="45"/>
      <c r="AA161" s="48"/>
      <c r="AB161" s="47"/>
      <c r="AC161" s="47"/>
      <c r="AD161" s="47"/>
      <c r="AE161" s="47"/>
      <c r="AF161" s="124" t="n">
        <v>11</v>
      </c>
    </row>
    <row r="162" s="124" customFormat="true" ht="11.25" hidden="false" customHeight="true" outlineLevel="0" collapsed="false">
      <c r="A162" s="608"/>
      <c r="B162" s="49"/>
      <c r="C162" s="49"/>
      <c r="K162" s="45"/>
      <c r="L162" s="49"/>
      <c r="M162" s="49"/>
      <c r="N162" s="45"/>
      <c r="O162" s="45"/>
      <c r="P162" s="45"/>
      <c r="Q162" s="45"/>
      <c r="R162" s="49"/>
      <c r="S162" s="45"/>
      <c r="T162" s="45"/>
      <c r="U162" s="609"/>
      <c r="V162" s="45"/>
      <c r="W162" s="45"/>
      <c r="X162" s="45"/>
      <c r="Y162" s="45"/>
      <c r="Z162" s="45"/>
      <c r="AA162" s="48"/>
      <c r="AB162" s="47"/>
      <c r="AC162" s="47"/>
      <c r="AD162" s="47"/>
      <c r="AE162" s="47"/>
      <c r="AF162" s="124" t="n">
        <v>11</v>
      </c>
    </row>
    <row r="163" s="124" customFormat="true" ht="11.25" hidden="false" customHeight="true" outlineLevel="0" collapsed="false">
      <c r="A163" s="608"/>
      <c r="B163" s="49"/>
      <c r="C163" s="49"/>
      <c r="K163" s="45"/>
      <c r="L163" s="49"/>
      <c r="M163" s="49"/>
      <c r="N163" s="45"/>
      <c r="O163" s="45"/>
      <c r="P163" s="45"/>
      <c r="Q163" s="45"/>
      <c r="R163" s="49"/>
      <c r="S163" s="45"/>
      <c r="T163" s="45"/>
      <c r="U163" s="609"/>
      <c r="V163" s="45"/>
      <c r="W163" s="45"/>
      <c r="X163" s="45"/>
      <c r="Y163" s="45"/>
      <c r="Z163" s="45"/>
      <c r="AA163" s="48"/>
      <c r="AB163" s="47"/>
      <c r="AC163" s="47"/>
      <c r="AD163" s="47"/>
      <c r="AE163" s="47"/>
      <c r="AF163" s="124" t="n">
        <v>11</v>
      </c>
    </row>
    <row r="164" s="124" customFormat="true" ht="11.25" hidden="false" customHeight="true" outlineLevel="0" collapsed="false">
      <c r="A164" s="608"/>
      <c r="B164" s="49"/>
      <c r="C164" s="49"/>
      <c r="K164" s="45"/>
      <c r="L164" s="49"/>
      <c r="M164" s="49"/>
      <c r="N164" s="45"/>
      <c r="O164" s="45"/>
      <c r="P164" s="45"/>
      <c r="Q164" s="45"/>
      <c r="R164" s="49"/>
      <c r="S164" s="45"/>
      <c r="T164" s="45"/>
      <c r="U164" s="609"/>
      <c r="V164" s="45"/>
      <c r="W164" s="45"/>
      <c r="X164" s="45"/>
      <c r="Y164" s="45"/>
      <c r="Z164" s="45"/>
      <c r="AA164" s="48"/>
      <c r="AB164" s="47"/>
      <c r="AC164" s="47"/>
      <c r="AD164" s="47"/>
      <c r="AE164" s="47"/>
      <c r="AF164" s="124" t="n">
        <v>11</v>
      </c>
    </row>
    <row r="165" s="124" customFormat="true" ht="11.25" hidden="false" customHeight="true" outlineLevel="0" collapsed="false">
      <c r="A165" s="608"/>
      <c r="B165" s="49"/>
      <c r="C165" s="49"/>
      <c r="K165" s="45"/>
      <c r="L165" s="49"/>
      <c r="M165" s="49"/>
      <c r="N165" s="45"/>
      <c r="O165" s="45"/>
      <c r="P165" s="45"/>
      <c r="Q165" s="45"/>
      <c r="R165" s="49"/>
      <c r="S165" s="45"/>
      <c r="T165" s="45"/>
      <c r="U165" s="609"/>
      <c r="V165" s="45"/>
      <c r="W165" s="45"/>
      <c r="X165" s="45"/>
      <c r="Y165" s="45"/>
      <c r="Z165" s="45"/>
      <c r="AA165" s="48"/>
      <c r="AB165" s="47"/>
      <c r="AC165" s="47"/>
      <c r="AD165" s="47"/>
      <c r="AE165" s="47"/>
      <c r="AF165" s="124" t="n">
        <v>11</v>
      </c>
    </row>
    <row r="166" s="124" customFormat="true" ht="11.25" hidden="false" customHeight="true" outlineLevel="0" collapsed="false">
      <c r="A166" s="608"/>
      <c r="B166" s="49"/>
      <c r="C166" s="49"/>
      <c r="K166" s="45"/>
      <c r="L166" s="49"/>
      <c r="M166" s="49"/>
      <c r="N166" s="45"/>
      <c r="O166" s="45"/>
      <c r="P166" s="45"/>
      <c r="Q166" s="45"/>
      <c r="R166" s="49"/>
      <c r="S166" s="45"/>
      <c r="T166" s="45"/>
      <c r="U166" s="609"/>
      <c r="V166" s="45"/>
      <c r="W166" s="45"/>
      <c r="X166" s="45"/>
      <c r="Y166" s="45"/>
      <c r="Z166" s="45"/>
      <c r="AA166" s="48"/>
      <c r="AB166" s="47"/>
      <c r="AC166" s="47"/>
      <c r="AD166" s="47"/>
      <c r="AE166" s="47"/>
      <c r="AF166" s="124" t="n">
        <v>11</v>
      </c>
    </row>
    <row r="167" s="124" customFormat="true" ht="11.25" hidden="false" customHeight="true" outlineLevel="0" collapsed="false">
      <c r="A167" s="608"/>
      <c r="B167" s="49"/>
      <c r="C167" s="49"/>
      <c r="K167" s="45"/>
      <c r="L167" s="49"/>
      <c r="M167" s="49"/>
      <c r="N167" s="45"/>
      <c r="O167" s="45"/>
      <c r="P167" s="45"/>
      <c r="Q167" s="45"/>
      <c r="R167" s="49"/>
      <c r="S167" s="45"/>
      <c r="T167" s="45"/>
      <c r="U167" s="609"/>
      <c r="V167" s="45"/>
      <c r="W167" s="45"/>
      <c r="X167" s="45"/>
      <c r="Y167" s="45"/>
      <c r="Z167" s="45"/>
      <c r="AA167" s="48"/>
      <c r="AB167" s="47"/>
      <c r="AC167" s="47"/>
      <c r="AD167" s="47"/>
      <c r="AE167" s="47"/>
      <c r="AF167" s="124" t="n">
        <v>11</v>
      </c>
    </row>
    <row r="168" s="124" customFormat="true" ht="11.25" hidden="false" customHeight="true" outlineLevel="0" collapsed="false">
      <c r="A168" s="608"/>
      <c r="B168" s="49"/>
      <c r="C168" s="49"/>
      <c r="K168" s="45"/>
      <c r="L168" s="49"/>
      <c r="M168" s="49"/>
      <c r="N168" s="45"/>
      <c r="O168" s="45"/>
      <c r="P168" s="45"/>
      <c r="Q168" s="45"/>
      <c r="R168" s="49"/>
      <c r="S168" s="45"/>
      <c r="T168" s="45"/>
      <c r="U168" s="609"/>
      <c r="V168" s="45"/>
      <c r="W168" s="45"/>
      <c r="X168" s="45"/>
      <c r="Y168" s="45"/>
      <c r="Z168" s="45"/>
      <c r="AA168" s="48"/>
      <c r="AB168" s="47"/>
      <c r="AC168" s="47"/>
      <c r="AD168" s="47"/>
      <c r="AE168" s="47"/>
      <c r="AF168" s="124" t="n">
        <v>11</v>
      </c>
    </row>
    <row r="169" s="124" customFormat="true" ht="11.25" hidden="false" customHeight="true" outlineLevel="0" collapsed="false">
      <c r="A169" s="608"/>
      <c r="B169" s="49"/>
      <c r="C169" s="49"/>
      <c r="K169" s="45"/>
      <c r="L169" s="49"/>
      <c r="M169" s="49"/>
      <c r="N169" s="45"/>
      <c r="O169" s="45"/>
      <c r="P169" s="45"/>
      <c r="Q169" s="45"/>
      <c r="R169" s="49"/>
      <c r="S169" s="45"/>
      <c r="T169" s="45"/>
      <c r="U169" s="609"/>
      <c r="V169" s="45"/>
      <c r="W169" s="45"/>
      <c r="X169" s="45"/>
      <c r="Y169" s="45"/>
      <c r="Z169" s="45"/>
      <c r="AA169" s="48"/>
      <c r="AB169" s="47"/>
      <c r="AC169" s="47"/>
      <c r="AD169" s="47"/>
      <c r="AE169" s="47"/>
      <c r="AF169" s="124" t="n">
        <v>11</v>
      </c>
    </row>
    <row r="170" s="124" customFormat="true" ht="11.25" hidden="false" customHeight="true" outlineLevel="0" collapsed="false">
      <c r="A170" s="608"/>
      <c r="B170" s="49"/>
      <c r="C170" s="49"/>
      <c r="K170" s="45"/>
      <c r="L170" s="49"/>
      <c r="M170" s="49"/>
      <c r="N170" s="45"/>
      <c r="O170" s="45"/>
      <c r="P170" s="45"/>
      <c r="Q170" s="45"/>
      <c r="R170" s="49"/>
      <c r="S170" s="45"/>
      <c r="T170" s="45"/>
      <c r="U170" s="609"/>
      <c r="V170" s="45"/>
      <c r="W170" s="45"/>
      <c r="X170" s="45"/>
      <c r="Y170" s="45"/>
      <c r="Z170" s="45"/>
      <c r="AA170" s="48"/>
      <c r="AB170" s="47"/>
      <c r="AC170" s="47"/>
      <c r="AD170" s="47"/>
      <c r="AE170" s="47"/>
      <c r="AF170" s="124" t="n">
        <v>11</v>
      </c>
    </row>
    <row r="171" s="124" customFormat="true" ht="11.25" hidden="false" customHeight="true" outlineLevel="0" collapsed="false">
      <c r="A171" s="608"/>
      <c r="B171" s="49"/>
      <c r="C171" s="49"/>
      <c r="K171" s="45"/>
      <c r="L171" s="49"/>
      <c r="M171" s="49"/>
      <c r="N171" s="45"/>
      <c r="O171" s="45"/>
      <c r="P171" s="45"/>
      <c r="Q171" s="45"/>
      <c r="R171" s="49"/>
      <c r="S171" s="45"/>
      <c r="T171" s="45"/>
      <c r="U171" s="609"/>
      <c r="V171" s="45"/>
      <c r="W171" s="45"/>
      <c r="X171" s="45"/>
      <c r="Y171" s="45"/>
      <c r="Z171" s="45"/>
      <c r="AA171" s="48"/>
      <c r="AB171" s="47"/>
      <c r="AC171" s="47"/>
      <c r="AD171" s="47"/>
      <c r="AE171" s="47"/>
      <c r="AF171" s="124" t="n">
        <v>11</v>
      </c>
    </row>
    <row r="172" s="124" customFormat="true" ht="11.25" hidden="false" customHeight="true" outlineLevel="0" collapsed="false">
      <c r="A172" s="608"/>
      <c r="B172" s="49"/>
      <c r="C172" s="49"/>
      <c r="K172" s="45"/>
      <c r="L172" s="49"/>
      <c r="M172" s="49"/>
      <c r="N172" s="45"/>
      <c r="O172" s="45"/>
      <c r="P172" s="45"/>
      <c r="Q172" s="45"/>
      <c r="R172" s="49"/>
      <c r="S172" s="45"/>
      <c r="T172" s="45"/>
      <c r="U172" s="609"/>
      <c r="V172" s="45"/>
      <c r="W172" s="45"/>
      <c r="X172" s="45"/>
      <c r="Y172" s="45"/>
      <c r="Z172" s="45"/>
      <c r="AA172" s="48"/>
      <c r="AB172" s="47"/>
      <c r="AC172" s="47"/>
      <c r="AD172" s="47"/>
      <c r="AE172" s="47"/>
      <c r="AF172" s="124" t="n">
        <v>11</v>
      </c>
    </row>
    <row r="173" s="124" customFormat="true" ht="11.25" hidden="false" customHeight="true" outlineLevel="0" collapsed="false">
      <c r="A173" s="608"/>
      <c r="B173" s="49"/>
      <c r="C173" s="49"/>
      <c r="K173" s="45"/>
      <c r="L173" s="49"/>
      <c r="M173" s="49"/>
      <c r="N173" s="45"/>
      <c r="O173" s="45"/>
      <c r="P173" s="45"/>
      <c r="Q173" s="45"/>
      <c r="R173" s="49"/>
      <c r="S173" s="45"/>
      <c r="T173" s="45"/>
      <c r="U173" s="609"/>
      <c r="V173" s="45"/>
      <c r="W173" s="45"/>
      <c r="X173" s="45"/>
      <c r="Y173" s="45"/>
      <c r="Z173" s="45"/>
      <c r="AA173" s="48"/>
      <c r="AB173" s="47"/>
      <c r="AC173" s="47"/>
      <c r="AD173" s="47"/>
      <c r="AE173" s="47"/>
      <c r="AF173" s="124" t="n">
        <v>11</v>
      </c>
    </row>
    <row r="174" s="124" customFormat="true" ht="11.25" hidden="false" customHeight="true" outlineLevel="0" collapsed="false">
      <c r="A174" s="608"/>
      <c r="B174" s="49"/>
      <c r="C174" s="49"/>
      <c r="K174" s="45"/>
      <c r="L174" s="49"/>
      <c r="M174" s="49"/>
      <c r="N174" s="45"/>
      <c r="O174" s="45"/>
      <c r="P174" s="45"/>
      <c r="Q174" s="45"/>
      <c r="R174" s="49"/>
      <c r="S174" s="45"/>
      <c r="T174" s="45"/>
      <c r="U174" s="609"/>
      <c r="V174" s="45"/>
      <c r="W174" s="45"/>
      <c r="X174" s="45"/>
      <c r="Y174" s="45"/>
      <c r="Z174" s="45"/>
      <c r="AA174" s="48"/>
      <c r="AB174" s="47"/>
      <c r="AC174" s="47"/>
      <c r="AD174" s="47"/>
      <c r="AE174" s="47"/>
      <c r="AF174" s="124" t="n">
        <v>11</v>
      </c>
    </row>
    <row r="175" s="124" customFormat="true" ht="11.25" hidden="false" customHeight="true" outlineLevel="0" collapsed="false">
      <c r="A175" s="608"/>
      <c r="B175" s="49"/>
      <c r="C175" s="49"/>
      <c r="K175" s="45"/>
      <c r="L175" s="49"/>
      <c r="M175" s="49"/>
      <c r="N175" s="45"/>
      <c r="O175" s="45"/>
      <c r="P175" s="45"/>
      <c r="Q175" s="45"/>
      <c r="R175" s="49"/>
      <c r="S175" s="45"/>
      <c r="T175" s="45"/>
      <c r="U175" s="609"/>
      <c r="V175" s="45"/>
      <c r="W175" s="45"/>
      <c r="X175" s="45"/>
      <c r="Y175" s="45"/>
      <c r="Z175" s="45"/>
      <c r="AA175" s="48"/>
      <c r="AB175" s="47"/>
      <c r="AC175" s="47"/>
      <c r="AD175" s="47"/>
      <c r="AE175" s="47"/>
      <c r="AF175" s="124" t="n">
        <v>11</v>
      </c>
    </row>
    <row r="176" s="124" customFormat="true" ht="11.25" hidden="false" customHeight="true" outlineLevel="0" collapsed="false">
      <c r="A176" s="608"/>
      <c r="B176" s="49"/>
      <c r="C176" s="49"/>
      <c r="K176" s="45"/>
      <c r="L176" s="49"/>
      <c r="M176" s="49"/>
      <c r="N176" s="45"/>
      <c r="O176" s="45"/>
      <c r="P176" s="45"/>
      <c r="Q176" s="45"/>
      <c r="R176" s="49"/>
      <c r="S176" s="45"/>
      <c r="T176" s="45"/>
      <c r="U176" s="609"/>
      <c r="V176" s="45"/>
      <c r="W176" s="45"/>
      <c r="X176" s="45"/>
      <c r="Y176" s="45"/>
      <c r="Z176" s="45"/>
      <c r="AA176" s="48"/>
      <c r="AB176" s="47"/>
      <c r="AC176" s="47"/>
      <c r="AD176" s="47"/>
      <c r="AE176" s="47"/>
      <c r="AF176" s="124" t="n">
        <v>11</v>
      </c>
    </row>
    <row r="177" s="124" customFormat="true" ht="11.25" hidden="false" customHeight="true" outlineLevel="0" collapsed="false">
      <c r="A177" s="608"/>
      <c r="B177" s="49"/>
      <c r="C177" s="49"/>
      <c r="K177" s="45"/>
      <c r="L177" s="49"/>
      <c r="M177" s="49"/>
      <c r="N177" s="45"/>
      <c r="O177" s="45"/>
      <c r="P177" s="45"/>
      <c r="Q177" s="45"/>
      <c r="R177" s="49"/>
      <c r="S177" s="45"/>
      <c r="T177" s="45"/>
      <c r="U177" s="609"/>
      <c r="V177" s="45"/>
      <c r="W177" s="45"/>
      <c r="X177" s="45"/>
      <c r="Y177" s="45"/>
      <c r="Z177" s="45"/>
      <c r="AA177" s="48"/>
      <c r="AB177" s="47"/>
      <c r="AC177" s="47"/>
      <c r="AD177" s="47"/>
      <c r="AE177" s="47"/>
      <c r="AF177" s="124" t="n">
        <v>11</v>
      </c>
    </row>
    <row r="178" s="124" customFormat="true" ht="11.25" hidden="false" customHeight="true" outlineLevel="0" collapsed="false">
      <c r="A178" s="608"/>
      <c r="B178" s="49"/>
      <c r="C178" s="49"/>
      <c r="K178" s="45"/>
      <c r="L178" s="49"/>
      <c r="M178" s="49"/>
      <c r="N178" s="45"/>
      <c r="O178" s="45"/>
      <c r="P178" s="45"/>
      <c r="Q178" s="45"/>
      <c r="R178" s="49"/>
      <c r="S178" s="45"/>
      <c r="T178" s="45"/>
      <c r="U178" s="609"/>
      <c r="V178" s="45"/>
      <c r="W178" s="45"/>
      <c r="X178" s="45"/>
      <c r="Y178" s="45"/>
      <c r="Z178" s="45"/>
      <c r="AA178" s="48"/>
      <c r="AB178" s="47"/>
      <c r="AC178" s="47"/>
      <c r="AD178" s="47"/>
      <c r="AE178" s="47"/>
      <c r="AF178" s="124" t="n">
        <v>11</v>
      </c>
    </row>
    <row r="179" s="124" customFormat="true" ht="11.25" hidden="false" customHeight="true" outlineLevel="0" collapsed="false">
      <c r="A179" s="608"/>
      <c r="B179" s="49"/>
      <c r="C179" s="49"/>
      <c r="K179" s="45"/>
      <c r="L179" s="49"/>
      <c r="M179" s="49"/>
      <c r="N179" s="45"/>
      <c r="O179" s="45"/>
      <c r="P179" s="45"/>
      <c r="Q179" s="45"/>
      <c r="R179" s="49"/>
      <c r="S179" s="45"/>
      <c r="T179" s="45"/>
      <c r="U179" s="609"/>
      <c r="V179" s="45"/>
      <c r="W179" s="45"/>
      <c r="X179" s="45"/>
      <c r="Y179" s="45"/>
      <c r="Z179" s="45"/>
      <c r="AA179" s="48"/>
      <c r="AB179" s="47"/>
      <c r="AC179" s="47"/>
      <c r="AD179" s="47"/>
      <c r="AE179" s="47"/>
      <c r="AF179" s="124" t="n">
        <v>11</v>
      </c>
    </row>
    <row r="180" s="124" customFormat="true" ht="11.25" hidden="false" customHeight="true" outlineLevel="0" collapsed="false">
      <c r="A180" s="608"/>
      <c r="B180" s="49"/>
      <c r="C180" s="49"/>
      <c r="K180" s="45"/>
      <c r="L180" s="49"/>
      <c r="M180" s="49"/>
      <c r="N180" s="45"/>
      <c r="O180" s="45"/>
      <c r="P180" s="45"/>
      <c r="Q180" s="45"/>
      <c r="R180" s="49"/>
      <c r="S180" s="45"/>
      <c r="T180" s="45"/>
      <c r="U180" s="609"/>
      <c r="V180" s="45"/>
      <c r="W180" s="45"/>
      <c r="X180" s="45"/>
      <c r="Y180" s="45"/>
      <c r="Z180" s="45"/>
      <c r="AA180" s="48"/>
      <c r="AB180" s="47"/>
      <c r="AC180" s="47"/>
      <c r="AD180" s="47"/>
      <c r="AE180" s="47"/>
      <c r="AF180" s="124" t="n">
        <v>11</v>
      </c>
    </row>
    <row r="181" s="124" customFormat="true" ht="11.25" hidden="false" customHeight="true" outlineLevel="0" collapsed="false">
      <c r="A181" s="608"/>
      <c r="B181" s="49"/>
      <c r="C181" s="49"/>
      <c r="K181" s="45"/>
      <c r="L181" s="49"/>
      <c r="M181" s="49"/>
      <c r="N181" s="45"/>
      <c r="O181" s="45"/>
      <c r="P181" s="45"/>
      <c r="Q181" s="45"/>
      <c r="R181" s="49"/>
      <c r="S181" s="45"/>
      <c r="T181" s="45"/>
      <c r="U181" s="609"/>
      <c r="V181" s="45"/>
      <c r="W181" s="45"/>
      <c r="X181" s="45"/>
      <c r="Y181" s="45"/>
      <c r="Z181" s="45"/>
      <c r="AA181" s="48"/>
      <c r="AB181" s="47"/>
      <c r="AC181" s="47"/>
      <c r="AD181" s="47"/>
      <c r="AE181" s="47"/>
      <c r="AF181" s="124" t="n">
        <v>11</v>
      </c>
    </row>
    <row r="182" s="124" customFormat="true" ht="11.25" hidden="false" customHeight="true" outlineLevel="0" collapsed="false">
      <c r="A182" s="608"/>
      <c r="B182" s="49"/>
      <c r="C182" s="49"/>
      <c r="K182" s="45"/>
      <c r="L182" s="49"/>
      <c r="M182" s="49"/>
      <c r="N182" s="45"/>
      <c r="O182" s="45"/>
      <c r="P182" s="45"/>
      <c r="Q182" s="45"/>
      <c r="R182" s="49"/>
      <c r="S182" s="45"/>
      <c r="T182" s="45"/>
      <c r="U182" s="609"/>
      <c r="V182" s="45"/>
      <c r="W182" s="45"/>
      <c r="X182" s="45"/>
      <c r="Y182" s="45"/>
      <c r="Z182" s="45"/>
      <c r="AA182" s="48"/>
      <c r="AB182" s="47"/>
      <c r="AC182" s="47"/>
      <c r="AD182" s="47"/>
      <c r="AE182" s="47"/>
      <c r="AF182" s="124" t="n">
        <v>11</v>
      </c>
    </row>
    <row r="183" s="124" customFormat="true" ht="11.25" hidden="false" customHeight="true" outlineLevel="0" collapsed="false">
      <c r="A183" s="608"/>
      <c r="B183" s="49"/>
      <c r="C183" s="49"/>
      <c r="K183" s="45"/>
      <c r="L183" s="49"/>
      <c r="M183" s="49"/>
      <c r="N183" s="45"/>
      <c r="O183" s="45"/>
      <c r="P183" s="45"/>
      <c r="Q183" s="45"/>
      <c r="R183" s="49"/>
      <c r="S183" s="45"/>
      <c r="T183" s="45"/>
      <c r="U183" s="609"/>
      <c r="V183" s="45"/>
      <c r="W183" s="45"/>
      <c r="X183" s="45"/>
      <c r="Y183" s="45"/>
      <c r="Z183" s="45"/>
      <c r="AA183" s="48"/>
      <c r="AB183" s="47"/>
      <c r="AC183" s="47"/>
      <c r="AD183" s="47"/>
      <c r="AE183" s="47"/>
      <c r="AF183" s="124" t="n">
        <v>11</v>
      </c>
    </row>
    <row r="184" s="124" customFormat="true" ht="11.25" hidden="false" customHeight="true" outlineLevel="0" collapsed="false">
      <c r="A184" s="608"/>
      <c r="B184" s="49"/>
      <c r="C184" s="49"/>
      <c r="K184" s="45"/>
      <c r="L184" s="49"/>
      <c r="M184" s="49"/>
      <c r="N184" s="45"/>
      <c r="O184" s="45"/>
      <c r="P184" s="45"/>
      <c r="Q184" s="45"/>
      <c r="R184" s="49"/>
      <c r="S184" s="45"/>
      <c r="T184" s="45"/>
      <c r="U184" s="609"/>
      <c r="V184" s="45"/>
      <c r="W184" s="45"/>
      <c r="X184" s="45"/>
      <c r="Y184" s="45"/>
      <c r="Z184" s="45"/>
      <c r="AA184" s="48"/>
      <c r="AB184" s="47"/>
      <c r="AC184" s="47"/>
      <c r="AD184" s="47"/>
      <c r="AE184" s="47"/>
      <c r="AF184" s="124" t="n">
        <v>11</v>
      </c>
    </row>
    <row r="185" s="124" customFormat="true" ht="11.25" hidden="false" customHeight="true" outlineLevel="0" collapsed="false">
      <c r="A185" s="608"/>
      <c r="B185" s="49"/>
      <c r="C185" s="49"/>
      <c r="K185" s="45"/>
      <c r="L185" s="49"/>
      <c r="M185" s="49"/>
      <c r="N185" s="45"/>
      <c r="O185" s="45"/>
      <c r="P185" s="45"/>
      <c r="Q185" s="45"/>
      <c r="R185" s="49"/>
      <c r="S185" s="45"/>
      <c r="T185" s="45"/>
      <c r="U185" s="609"/>
      <c r="V185" s="45"/>
      <c r="W185" s="45"/>
      <c r="X185" s="45"/>
      <c r="Y185" s="45"/>
      <c r="Z185" s="45"/>
      <c r="AA185" s="48"/>
      <c r="AB185" s="47"/>
      <c r="AC185" s="47"/>
      <c r="AD185" s="47"/>
      <c r="AE185" s="47"/>
      <c r="AF185" s="124" t="n">
        <v>11</v>
      </c>
    </row>
    <row r="186" s="124" customFormat="true" ht="11.25" hidden="false" customHeight="true" outlineLevel="0" collapsed="false">
      <c r="A186" s="608"/>
      <c r="B186" s="49"/>
      <c r="C186" s="49"/>
      <c r="K186" s="45"/>
      <c r="L186" s="49"/>
      <c r="M186" s="49"/>
      <c r="N186" s="45"/>
      <c r="O186" s="45"/>
      <c r="P186" s="45"/>
      <c r="Q186" s="45"/>
      <c r="R186" s="49"/>
      <c r="S186" s="45"/>
      <c r="T186" s="45"/>
      <c r="U186" s="609"/>
      <c r="V186" s="45"/>
      <c r="W186" s="45"/>
      <c r="X186" s="45"/>
      <c r="Y186" s="45"/>
      <c r="Z186" s="45"/>
      <c r="AA186" s="48"/>
      <c r="AB186" s="47"/>
      <c r="AC186" s="47"/>
      <c r="AD186" s="47"/>
      <c r="AE186" s="47"/>
      <c r="AF186" s="124" t="n">
        <v>11</v>
      </c>
    </row>
    <row r="187" s="124" customFormat="true" ht="11.25" hidden="false" customHeight="true" outlineLevel="0" collapsed="false">
      <c r="A187" s="608"/>
      <c r="B187" s="49"/>
      <c r="C187" s="49"/>
      <c r="K187" s="45"/>
      <c r="L187" s="49"/>
      <c r="M187" s="49"/>
      <c r="N187" s="45"/>
      <c r="O187" s="45"/>
      <c r="P187" s="45"/>
      <c r="Q187" s="45"/>
      <c r="R187" s="49"/>
      <c r="S187" s="45"/>
      <c r="T187" s="45"/>
      <c r="U187" s="609"/>
      <c r="V187" s="45"/>
      <c r="W187" s="45"/>
      <c r="X187" s="45"/>
      <c r="Y187" s="45"/>
      <c r="Z187" s="45"/>
      <c r="AA187" s="48"/>
      <c r="AB187" s="47"/>
      <c r="AC187" s="47"/>
      <c r="AD187" s="47"/>
      <c r="AE187" s="47"/>
      <c r="AF187" s="124" t="n">
        <v>11</v>
      </c>
    </row>
    <row r="188" s="124" customFormat="true" ht="11.25" hidden="false" customHeight="true" outlineLevel="0" collapsed="false">
      <c r="A188" s="608"/>
      <c r="B188" s="49"/>
      <c r="C188" s="49"/>
      <c r="K188" s="45"/>
      <c r="L188" s="49"/>
      <c r="M188" s="49"/>
      <c r="N188" s="45"/>
      <c r="O188" s="45"/>
      <c r="P188" s="45"/>
      <c r="Q188" s="45"/>
      <c r="R188" s="49"/>
      <c r="S188" s="45"/>
      <c r="T188" s="45"/>
      <c r="U188" s="609"/>
      <c r="V188" s="45"/>
      <c r="W188" s="45"/>
      <c r="X188" s="45"/>
      <c r="Y188" s="45"/>
      <c r="Z188" s="45"/>
      <c r="AA188" s="48"/>
      <c r="AB188" s="47"/>
      <c r="AC188" s="47"/>
      <c r="AD188" s="47"/>
      <c r="AE188" s="47"/>
      <c r="AF188" s="124" t="n">
        <v>11</v>
      </c>
    </row>
    <row r="189" s="124" customFormat="true" ht="11.25" hidden="false" customHeight="true" outlineLevel="0" collapsed="false">
      <c r="A189" s="608"/>
      <c r="B189" s="49"/>
      <c r="C189" s="49"/>
      <c r="K189" s="45"/>
      <c r="L189" s="49"/>
      <c r="M189" s="49"/>
      <c r="N189" s="45"/>
      <c r="O189" s="45"/>
      <c r="P189" s="45"/>
      <c r="Q189" s="45"/>
      <c r="R189" s="49"/>
      <c r="S189" s="45"/>
      <c r="T189" s="45"/>
      <c r="U189" s="609"/>
      <c r="V189" s="45"/>
      <c r="W189" s="45"/>
      <c r="X189" s="45"/>
      <c r="Y189" s="45"/>
      <c r="Z189" s="45"/>
      <c r="AA189" s="48"/>
      <c r="AB189" s="47"/>
      <c r="AC189" s="47"/>
      <c r="AD189" s="47"/>
      <c r="AE189" s="47"/>
      <c r="AF189" s="124" t="n">
        <v>11</v>
      </c>
    </row>
    <row r="190" s="124" customFormat="true" ht="11.25" hidden="false" customHeight="true" outlineLevel="0" collapsed="false">
      <c r="A190" s="608"/>
      <c r="B190" s="49"/>
      <c r="C190" s="49"/>
      <c r="K190" s="45"/>
      <c r="L190" s="49"/>
      <c r="M190" s="49"/>
      <c r="N190" s="45"/>
      <c r="O190" s="45"/>
      <c r="P190" s="45"/>
      <c r="Q190" s="45"/>
      <c r="R190" s="49"/>
      <c r="S190" s="45"/>
      <c r="T190" s="45"/>
      <c r="U190" s="609"/>
      <c r="V190" s="45"/>
      <c r="W190" s="45"/>
      <c r="X190" s="45"/>
      <c r="Y190" s="45"/>
      <c r="Z190" s="45"/>
      <c r="AA190" s="48"/>
      <c r="AB190" s="47"/>
      <c r="AC190" s="47"/>
      <c r="AD190" s="47"/>
      <c r="AE190" s="47"/>
      <c r="AF190" s="124" t="n">
        <v>11</v>
      </c>
    </row>
    <row r="191" s="124" customFormat="true" ht="11.25" hidden="false" customHeight="true" outlineLevel="0" collapsed="false">
      <c r="A191" s="608"/>
      <c r="B191" s="49"/>
      <c r="C191" s="49"/>
      <c r="K191" s="45"/>
      <c r="L191" s="49"/>
      <c r="M191" s="49"/>
      <c r="N191" s="45"/>
      <c r="O191" s="45"/>
      <c r="P191" s="45"/>
      <c r="Q191" s="45"/>
      <c r="R191" s="49"/>
      <c r="S191" s="45"/>
      <c r="T191" s="45"/>
      <c r="U191" s="609"/>
      <c r="V191" s="45"/>
      <c r="W191" s="45"/>
      <c r="X191" s="45"/>
      <c r="Y191" s="45"/>
      <c r="Z191" s="45"/>
      <c r="AA191" s="48"/>
      <c r="AB191" s="47"/>
      <c r="AC191" s="47"/>
      <c r="AD191" s="47"/>
      <c r="AE191" s="47"/>
      <c r="AF191" s="124" t="n">
        <v>11</v>
      </c>
    </row>
    <row r="192" s="124" customFormat="true" ht="11.25" hidden="false" customHeight="true" outlineLevel="0" collapsed="false">
      <c r="A192" s="608"/>
      <c r="B192" s="49"/>
      <c r="C192" s="49"/>
      <c r="K192" s="45"/>
      <c r="L192" s="49"/>
      <c r="M192" s="49"/>
      <c r="N192" s="45"/>
      <c r="O192" s="45"/>
      <c r="P192" s="45"/>
      <c r="Q192" s="45"/>
      <c r="R192" s="49"/>
      <c r="S192" s="45"/>
      <c r="T192" s="45"/>
      <c r="U192" s="609"/>
      <c r="V192" s="45"/>
      <c r="W192" s="45"/>
      <c r="X192" s="45"/>
      <c r="Y192" s="45"/>
      <c r="Z192" s="45"/>
      <c r="AA192" s="48"/>
      <c r="AB192" s="47"/>
      <c r="AC192" s="47"/>
      <c r="AD192" s="47"/>
      <c r="AE192" s="47"/>
      <c r="AF192" s="124" t="n">
        <v>11</v>
      </c>
    </row>
    <row r="193" s="124" customFormat="true" ht="11.25" hidden="false" customHeight="true" outlineLevel="0" collapsed="false">
      <c r="A193" s="608"/>
      <c r="B193" s="49"/>
      <c r="C193" s="49"/>
      <c r="K193" s="45"/>
      <c r="L193" s="49"/>
      <c r="M193" s="49"/>
      <c r="N193" s="45"/>
      <c r="O193" s="45"/>
      <c r="P193" s="45"/>
      <c r="Q193" s="45"/>
      <c r="R193" s="49"/>
      <c r="S193" s="45"/>
      <c r="T193" s="45"/>
      <c r="U193" s="609"/>
      <c r="V193" s="45"/>
      <c r="W193" s="45"/>
      <c r="X193" s="45"/>
      <c r="Y193" s="45"/>
      <c r="Z193" s="45"/>
      <c r="AA193" s="48"/>
      <c r="AB193" s="47"/>
      <c r="AC193" s="47"/>
      <c r="AD193" s="47"/>
      <c r="AE193" s="47"/>
      <c r="AF193" s="124" t="n">
        <v>11</v>
      </c>
    </row>
    <row r="194" s="124" customFormat="true" ht="11.25" hidden="false" customHeight="true" outlineLevel="0" collapsed="false">
      <c r="A194" s="608"/>
      <c r="B194" s="49"/>
      <c r="C194" s="49"/>
      <c r="K194" s="45"/>
      <c r="L194" s="49"/>
      <c r="M194" s="49"/>
      <c r="N194" s="45"/>
      <c r="O194" s="45"/>
      <c r="P194" s="45"/>
      <c r="Q194" s="45"/>
      <c r="R194" s="49"/>
      <c r="S194" s="45"/>
      <c r="T194" s="45"/>
      <c r="U194" s="609"/>
      <c r="V194" s="45"/>
      <c r="W194" s="45"/>
      <c r="X194" s="45"/>
      <c r="Y194" s="45"/>
      <c r="Z194" s="45"/>
      <c r="AA194" s="48"/>
      <c r="AB194" s="47"/>
      <c r="AC194" s="47"/>
      <c r="AD194" s="47"/>
      <c r="AE194" s="47"/>
      <c r="AF194" s="124" t="n">
        <v>11</v>
      </c>
    </row>
    <row r="195" s="124" customFormat="true" ht="11.25" hidden="false" customHeight="true" outlineLevel="0" collapsed="false">
      <c r="A195" s="608"/>
      <c r="B195" s="49"/>
      <c r="C195" s="49"/>
      <c r="K195" s="45"/>
      <c r="L195" s="49"/>
      <c r="M195" s="49"/>
      <c r="N195" s="45"/>
      <c r="O195" s="45"/>
      <c r="P195" s="45"/>
      <c r="Q195" s="45"/>
      <c r="R195" s="49"/>
      <c r="S195" s="45"/>
      <c r="T195" s="45"/>
      <c r="U195" s="609"/>
      <c r="V195" s="45"/>
      <c r="W195" s="45"/>
      <c r="X195" s="45"/>
      <c r="Y195" s="45"/>
      <c r="Z195" s="45"/>
      <c r="AA195" s="48"/>
      <c r="AB195" s="47"/>
      <c r="AC195" s="47"/>
      <c r="AD195" s="47"/>
      <c r="AE195" s="47"/>
      <c r="AF195" s="124" t="n">
        <v>11</v>
      </c>
    </row>
    <row r="196" s="124" customFormat="true" ht="11.25" hidden="false" customHeight="true" outlineLevel="0" collapsed="false">
      <c r="A196" s="608"/>
      <c r="B196" s="49"/>
      <c r="C196" s="49"/>
      <c r="K196" s="45"/>
      <c r="L196" s="49"/>
      <c r="M196" s="49"/>
      <c r="N196" s="45"/>
      <c r="O196" s="45"/>
      <c r="P196" s="45"/>
      <c r="Q196" s="45"/>
      <c r="R196" s="49"/>
      <c r="S196" s="45"/>
      <c r="T196" s="45"/>
      <c r="U196" s="609"/>
      <c r="V196" s="45"/>
      <c r="W196" s="45"/>
      <c r="X196" s="45"/>
      <c r="Y196" s="45"/>
      <c r="Z196" s="45"/>
      <c r="AA196" s="48"/>
      <c r="AB196" s="47"/>
      <c r="AC196" s="47"/>
      <c r="AD196" s="47"/>
      <c r="AE196" s="47"/>
      <c r="AF196" s="124" t="n">
        <v>11</v>
      </c>
    </row>
    <row r="197" s="124" customFormat="true" ht="11.25" hidden="false" customHeight="true" outlineLevel="0" collapsed="false">
      <c r="A197" s="608"/>
      <c r="B197" s="49"/>
      <c r="C197" s="49"/>
      <c r="K197" s="45"/>
      <c r="L197" s="49"/>
      <c r="M197" s="49"/>
      <c r="N197" s="45"/>
      <c r="O197" s="45"/>
      <c r="P197" s="45"/>
      <c r="Q197" s="45"/>
      <c r="R197" s="49"/>
      <c r="S197" s="45"/>
      <c r="T197" s="45"/>
      <c r="U197" s="609"/>
      <c r="V197" s="45"/>
      <c r="W197" s="45"/>
      <c r="X197" s="45"/>
      <c r="Y197" s="45"/>
      <c r="Z197" s="45"/>
      <c r="AA197" s="48"/>
      <c r="AB197" s="47"/>
      <c r="AC197" s="47"/>
      <c r="AD197" s="47"/>
      <c r="AE197" s="47"/>
      <c r="AF197" s="124" t="n">
        <v>11</v>
      </c>
    </row>
    <row r="198" s="124" customFormat="true" ht="11.25" hidden="false" customHeight="true" outlineLevel="0" collapsed="false">
      <c r="A198" s="608"/>
      <c r="B198" s="49"/>
      <c r="C198" s="49"/>
      <c r="K198" s="45"/>
      <c r="L198" s="49"/>
      <c r="M198" s="49"/>
      <c r="N198" s="45"/>
      <c r="O198" s="45"/>
      <c r="P198" s="45"/>
      <c r="Q198" s="45"/>
      <c r="R198" s="49"/>
      <c r="S198" s="45"/>
      <c r="T198" s="45"/>
      <c r="U198" s="609"/>
      <c r="V198" s="45"/>
      <c r="W198" s="45"/>
      <c r="X198" s="45"/>
      <c r="Y198" s="45"/>
      <c r="Z198" s="45"/>
      <c r="AA198" s="48"/>
      <c r="AB198" s="47"/>
      <c r="AC198" s="47"/>
      <c r="AD198" s="47"/>
      <c r="AE198" s="47"/>
      <c r="AF198" s="124" t="n">
        <v>11</v>
      </c>
    </row>
    <row r="199" s="124" customFormat="true" ht="11.25" hidden="false" customHeight="true" outlineLevel="0" collapsed="false">
      <c r="A199" s="608"/>
      <c r="B199" s="49"/>
      <c r="C199" s="49"/>
      <c r="K199" s="45"/>
      <c r="L199" s="49"/>
      <c r="M199" s="49"/>
      <c r="N199" s="45"/>
      <c r="O199" s="45"/>
      <c r="P199" s="45"/>
      <c r="Q199" s="45"/>
      <c r="R199" s="49"/>
      <c r="S199" s="45"/>
      <c r="T199" s="45"/>
      <c r="U199" s="609"/>
      <c r="V199" s="45"/>
      <c r="W199" s="45"/>
      <c r="X199" s="45"/>
      <c r="Y199" s="45"/>
      <c r="Z199" s="45"/>
      <c r="AA199" s="48"/>
      <c r="AB199" s="47"/>
      <c r="AC199" s="47"/>
      <c r="AD199" s="47"/>
      <c r="AE199" s="47"/>
      <c r="AF199" s="124" t="n">
        <v>11</v>
      </c>
    </row>
    <row r="200" s="124" customFormat="true" ht="11.25" hidden="false" customHeight="true" outlineLevel="0" collapsed="false">
      <c r="A200" s="608"/>
      <c r="B200" s="49"/>
      <c r="C200" s="49"/>
      <c r="K200" s="45"/>
      <c r="L200" s="49"/>
      <c r="M200" s="49"/>
      <c r="N200" s="45"/>
      <c r="O200" s="45"/>
      <c r="P200" s="45"/>
      <c r="Q200" s="45"/>
      <c r="R200" s="49"/>
      <c r="S200" s="45"/>
      <c r="T200" s="45"/>
      <c r="U200" s="609"/>
      <c r="V200" s="45"/>
      <c r="W200" s="45"/>
      <c r="X200" s="45"/>
      <c r="Y200" s="45"/>
      <c r="Z200" s="45"/>
      <c r="AA200" s="48"/>
      <c r="AB200" s="47"/>
      <c r="AC200" s="47"/>
      <c r="AD200" s="47"/>
      <c r="AE200" s="47"/>
      <c r="AF200" s="124" t="n">
        <v>11</v>
      </c>
    </row>
    <row r="201" s="124" customFormat="true" ht="11.25" hidden="false" customHeight="true" outlineLevel="0" collapsed="false">
      <c r="A201" s="608"/>
      <c r="B201" s="49"/>
      <c r="C201" s="49"/>
      <c r="K201" s="45"/>
      <c r="L201" s="49"/>
      <c r="M201" s="49"/>
      <c r="N201" s="45"/>
      <c r="O201" s="45"/>
      <c r="P201" s="45"/>
      <c r="Q201" s="45"/>
      <c r="R201" s="49"/>
      <c r="S201" s="45"/>
      <c r="T201" s="45"/>
      <c r="U201" s="609"/>
      <c r="V201" s="45"/>
      <c r="W201" s="45"/>
      <c r="X201" s="45"/>
      <c r="Y201" s="45"/>
      <c r="Z201" s="45"/>
      <c r="AA201" s="48"/>
      <c r="AB201" s="47"/>
      <c r="AC201" s="47"/>
      <c r="AD201" s="47"/>
      <c r="AE201" s="47"/>
      <c r="AF201" s="124" t="n">
        <v>11</v>
      </c>
    </row>
    <row r="202" s="124" customFormat="true" ht="11.25" hidden="false" customHeight="true" outlineLevel="0" collapsed="false">
      <c r="A202" s="608"/>
      <c r="B202" s="49"/>
      <c r="C202" s="49"/>
      <c r="K202" s="45"/>
      <c r="L202" s="49"/>
      <c r="M202" s="49"/>
      <c r="N202" s="45"/>
      <c r="O202" s="45"/>
      <c r="P202" s="45"/>
      <c r="Q202" s="45"/>
      <c r="R202" s="49"/>
      <c r="S202" s="45"/>
      <c r="T202" s="45"/>
      <c r="U202" s="609"/>
      <c r="V202" s="45"/>
      <c r="W202" s="45"/>
      <c r="X202" s="45"/>
      <c r="Y202" s="45"/>
      <c r="Z202" s="45"/>
      <c r="AA202" s="48"/>
      <c r="AB202" s="47"/>
      <c r="AC202" s="47"/>
      <c r="AD202" s="47"/>
      <c r="AE202" s="47"/>
      <c r="AF202" s="124" t="n">
        <v>11</v>
      </c>
    </row>
    <row r="203" customFormat="false" ht="11.25" hidden="false" customHeight="true" outlineLevel="0" collapsed="false">
      <c r="AF203" s="42" t="n">
        <v>11</v>
      </c>
    </row>
    <row r="204" customFormat="false" ht="11.25" hidden="false" customHeight="true" outlineLevel="0" collapsed="false">
      <c r="AF204" s="42" t="n">
        <v>11</v>
      </c>
    </row>
    <row r="205" customFormat="false" ht="11.25" hidden="false" customHeight="true" outlineLevel="0" collapsed="false">
      <c r="AF205" s="42" t="n">
        <v>11</v>
      </c>
    </row>
    <row r="206" customFormat="false" ht="11.25" hidden="false" customHeight="true" outlineLevel="0" collapsed="false">
      <c r="A206" s="679"/>
      <c r="B206" s="42"/>
      <c r="K206" s="42"/>
      <c r="N206" s="42"/>
      <c r="O206" s="42"/>
      <c r="P206" s="42"/>
      <c r="Q206" s="42"/>
      <c r="S206" s="42"/>
      <c r="T206" s="42"/>
      <c r="U206" s="42"/>
      <c r="V206" s="42"/>
      <c r="W206" s="42"/>
      <c r="X206" s="42"/>
      <c r="Y206" s="42"/>
      <c r="Z206" s="42"/>
      <c r="AA206" s="42"/>
      <c r="AB206" s="42"/>
      <c r="AC206" s="42"/>
      <c r="AD206" s="42"/>
      <c r="AE206" s="42"/>
      <c r="AF206" s="42" t="n">
        <v>11</v>
      </c>
    </row>
    <row r="207" customFormat="false" ht="11.25" hidden="false" customHeight="true" outlineLevel="0" collapsed="false">
      <c r="A207" s="679"/>
      <c r="B207" s="42"/>
      <c r="K207" s="42"/>
      <c r="N207" s="42"/>
      <c r="O207" s="42"/>
      <c r="P207" s="42"/>
      <c r="Q207" s="42"/>
      <c r="S207" s="42"/>
      <c r="T207" s="42"/>
      <c r="U207" s="42"/>
      <c r="V207" s="42"/>
      <c r="W207" s="42"/>
      <c r="X207" s="42"/>
      <c r="Y207" s="42"/>
      <c r="Z207" s="42"/>
      <c r="AA207" s="42"/>
      <c r="AB207" s="42"/>
      <c r="AC207" s="42"/>
      <c r="AD207" s="42"/>
      <c r="AE207" s="42"/>
      <c r="AF207" s="42" t="n">
        <v>11</v>
      </c>
    </row>
    <row r="208" customFormat="false" ht="11.25" hidden="false" customHeight="true" outlineLevel="0" collapsed="false">
      <c r="A208" s="679"/>
      <c r="B208" s="42"/>
      <c r="K208" s="42"/>
      <c r="N208" s="42"/>
      <c r="O208" s="42"/>
      <c r="P208" s="42"/>
      <c r="Q208" s="42"/>
      <c r="S208" s="42"/>
      <c r="T208" s="42"/>
      <c r="U208" s="42"/>
      <c r="V208" s="42"/>
      <c r="W208" s="42"/>
      <c r="X208" s="42"/>
      <c r="Y208" s="42"/>
      <c r="Z208" s="42"/>
      <c r="AA208" s="42"/>
      <c r="AB208" s="42"/>
      <c r="AC208" s="42"/>
      <c r="AD208" s="42"/>
      <c r="AE208" s="42"/>
      <c r="AF208" s="42" t="n">
        <v>11</v>
      </c>
    </row>
    <row r="209" customFormat="false" ht="11.25" hidden="false" customHeight="true" outlineLevel="0" collapsed="false">
      <c r="A209" s="679"/>
      <c r="B209" s="42"/>
      <c r="K209" s="42"/>
      <c r="N209" s="42"/>
      <c r="O209" s="42"/>
      <c r="P209" s="42"/>
      <c r="Q209" s="42"/>
      <c r="S209" s="42"/>
      <c r="T209" s="42"/>
      <c r="U209" s="42"/>
      <c r="V209" s="42"/>
      <c r="W209" s="42"/>
      <c r="X209" s="42"/>
      <c r="Y209" s="42"/>
      <c r="Z209" s="42"/>
      <c r="AA209" s="42"/>
      <c r="AB209" s="42"/>
      <c r="AC209" s="42"/>
      <c r="AD209" s="42"/>
      <c r="AE209" s="42"/>
      <c r="AF209" s="42" t="n">
        <v>11</v>
      </c>
    </row>
    <row r="210" customFormat="false" ht="11.25" hidden="false" customHeight="true" outlineLevel="0" collapsed="false">
      <c r="A210" s="679"/>
      <c r="B210" s="42"/>
      <c r="K210" s="42"/>
      <c r="N210" s="42"/>
      <c r="O210" s="42"/>
      <c r="P210" s="42"/>
      <c r="Q210" s="42"/>
      <c r="S210" s="42"/>
      <c r="T210" s="42"/>
      <c r="U210" s="42"/>
      <c r="V210" s="42"/>
      <c r="W210" s="42"/>
      <c r="X210" s="42"/>
      <c r="Y210" s="42"/>
      <c r="Z210" s="42"/>
      <c r="AA210" s="42"/>
      <c r="AB210" s="42"/>
      <c r="AC210" s="42"/>
      <c r="AD210" s="42"/>
      <c r="AE210" s="42"/>
      <c r="AF210" s="42" t="n">
        <v>11</v>
      </c>
    </row>
    <row r="211" customFormat="false" ht="11.25" hidden="false" customHeight="true" outlineLevel="0" collapsed="false">
      <c r="A211" s="679"/>
      <c r="B211" s="42"/>
      <c r="K211" s="42"/>
      <c r="N211" s="42"/>
      <c r="O211" s="42"/>
      <c r="P211" s="42"/>
      <c r="Q211" s="42"/>
      <c r="S211" s="42"/>
      <c r="T211" s="42"/>
      <c r="U211" s="42"/>
      <c r="V211" s="42"/>
      <c r="W211" s="42"/>
      <c r="X211" s="42"/>
      <c r="Y211" s="42"/>
      <c r="Z211" s="42"/>
      <c r="AA211" s="42"/>
      <c r="AB211" s="42"/>
      <c r="AC211" s="42"/>
      <c r="AD211" s="42"/>
      <c r="AE211" s="42"/>
      <c r="AF211" s="42" t="n">
        <v>11</v>
      </c>
    </row>
    <row r="212" customFormat="false" ht="11.25" hidden="false" customHeight="true" outlineLevel="0" collapsed="false">
      <c r="A212" s="679"/>
      <c r="B212" s="42"/>
      <c r="K212" s="42"/>
      <c r="N212" s="42"/>
      <c r="O212" s="42"/>
      <c r="P212" s="42"/>
      <c r="Q212" s="42"/>
      <c r="S212" s="42"/>
      <c r="T212" s="42"/>
      <c r="U212" s="42"/>
      <c r="V212" s="42"/>
      <c r="W212" s="42"/>
      <c r="X212" s="42"/>
      <c r="Y212" s="42"/>
      <c r="Z212" s="42"/>
      <c r="AA212" s="42"/>
      <c r="AB212" s="42"/>
      <c r="AC212" s="42"/>
      <c r="AD212" s="42"/>
      <c r="AE212" s="42"/>
      <c r="AF212" s="42" t="n">
        <v>11</v>
      </c>
    </row>
    <row r="213" customFormat="false" ht="11.25" hidden="false" customHeight="true" outlineLevel="0" collapsed="false">
      <c r="A213" s="679"/>
      <c r="B213" s="42"/>
      <c r="K213" s="42"/>
      <c r="N213" s="42"/>
      <c r="O213" s="42"/>
      <c r="P213" s="42"/>
      <c r="Q213" s="42"/>
      <c r="S213" s="42"/>
      <c r="T213" s="42"/>
      <c r="U213" s="42"/>
      <c r="V213" s="42"/>
      <c r="W213" s="42"/>
      <c r="X213" s="42"/>
      <c r="Y213" s="42"/>
      <c r="Z213" s="42"/>
      <c r="AA213" s="42"/>
      <c r="AB213" s="42"/>
      <c r="AC213" s="42"/>
      <c r="AD213" s="42"/>
      <c r="AE213" s="42"/>
      <c r="AF213" s="42" t="n">
        <v>11</v>
      </c>
    </row>
    <row r="214" customFormat="false" ht="11.25" hidden="false" customHeight="true" outlineLevel="0" collapsed="false">
      <c r="A214" s="679"/>
      <c r="B214" s="42"/>
      <c r="K214" s="42"/>
      <c r="N214" s="42"/>
      <c r="O214" s="42"/>
      <c r="P214" s="42"/>
      <c r="Q214" s="42"/>
      <c r="S214" s="42"/>
      <c r="T214" s="42"/>
      <c r="U214" s="42"/>
      <c r="V214" s="42"/>
      <c r="W214" s="42"/>
      <c r="X214" s="42"/>
      <c r="Y214" s="42"/>
      <c r="Z214" s="42"/>
      <c r="AA214" s="42"/>
      <c r="AB214" s="42"/>
      <c r="AC214" s="42"/>
      <c r="AD214" s="42"/>
      <c r="AE214" s="42"/>
      <c r="AF214" s="42" t="n">
        <v>11</v>
      </c>
    </row>
    <row r="215" customFormat="false" ht="11.25" hidden="false" customHeight="true" outlineLevel="0" collapsed="false">
      <c r="A215" s="679"/>
      <c r="B215" s="42"/>
      <c r="K215" s="42"/>
      <c r="N215" s="42"/>
      <c r="O215" s="42"/>
      <c r="P215" s="42"/>
      <c r="Q215" s="42"/>
      <c r="S215" s="42"/>
      <c r="T215" s="42"/>
      <c r="U215" s="42"/>
      <c r="V215" s="42"/>
      <c r="W215" s="42"/>
      <c r="X215" s="42"/>
      <c r="Y215" s="42"/>
      <c r="Z215" s="42"/>
      <c r="AA215" s="42"/>
      <c r="AB215" s="42"/>
      <c r="AC215" s="42"/>
      <c r="AD215" s="42"/>
      <c r="AE215" s="42"/>
      <c r="AF215" s="42" t="n">
        <v>11</v>
      </c>
    </row>
    <row r="216" customFormat="false" ht="11.25" hidden="false" customHeight="true" outlineLevel="0" collapsed="false">
      <c r="A216" s="679"/>
      <c r="B216" s="42"/>
      <c r="K216" s="42"/>
      <c r="N216" s="42"/>
      <c r="O216" s="42"/>
      <c r="P216" s="42"/>
      <c r="Q216" s="42"/>
      <c r="S216" s="42"/>
      <c r="T216" s="42"/>
      <c r="U216" s="42"/>
      <c r="V216" s="42"/>
      <c r="W216" s="42"/>
      <c r="X216" s="42"/>
      <c r="Y216" s="42"/>
      <c r="Z216" s="42"/>
      <c r="AA216" s="42"/>
      <c r="AB216" s="42"/>
      <c r="AC216" s="42"/>
      <c r="AD216" s="42"/>
      <c r="AE216" s="42"/>
      <c r="AF216" s="42" t="n">
        <v>11</v>
      </c>
    </row>
    <row r="217" customFormat="false" ht="11.25" hidden="true" customHeight="true" outlineLevel="0" collapsed="false">
      <c r="A217" s="608" t="s">
        <v>80</v>
      </c>
      <c r="B217" s="45" t="n">
        <v>0</v>
      </c>
      <c r="C217" s="49" t="n">
        <v>0</v>
      </c>
      <c r="D217" s="42" t="n">
        <v>3</v>
      </c>
      <c r="E217" s="42" t="n">
        <v>7</v>
      </c>
      <c r="F217" s="42" t="n">
        <v>56</v>
      </c>
      <c r="G217" s="42" t="n">
        <v>10</v>
      </c>
      <c r="H217" s="42" t="n">
        <v>0</v>
      </c>
      <c r="I217" s="42" t="n">
        <v>40</v>
      </c>
      <c r="J217" s="42" t="n">
        <v>102</v>
      </c>
      <c r="K217" s="45" t="n">
        <v>9</v>
      </c>
      <c r="L217" s="49" t="n">
        <v>5</v>
      </c>
      <c r="M217" s="49" t="n">
        <v>3</v>
      </c>
      <c r="N217" s="45" t="n">
        <v>3</v>
      </c>
      <c r="O217" s="45" t="n">
        <v>3</v>
      </c>
      <c r="P217" s="45" t="n">
        <v>3</v>
      </c>
      <c r="Q217" s="45" t="n">
        <v>3</v>
      </c>
      <c r="R217" s="49" t="n">
        <v>10</v>
      </c>
      <c r="S217" s="45" t="n">
        <v>34</v>
      </c>
      <c r="T217" s="45" t="n">
        <v>9</v>
      </c>
      <c r="U217" s="609" t="n">
        <v>8</v>
      </c>
      <c r="V217" s="45" t="n">
        <v>8</v>
      </c>
      <c r="W217" s="45" t="n">
        <v>8</v>
      </c>
      <c r="X217" s="45" t="n">
        <v>8</v>
      </c>
      <c r="Y217" s="45" t="n">
        <v>8</v>
      </c>
      <c r="Z217" s="45" t="n">
        <v>8</v>
      </c>
      <c r="AA217" s="48" t="n">
        <v>8</v>
      </c>
      <c r="AB217" s="48" t="n">
        <v>8</v>
      </c>
      <c r="AC217" s="48" t="n">
        <v>8</v>
      </c>
      <c r="AD217" s="48" t="n">
        <v>8</v>
      </c>
      <c r="AE217" s="48" t="n">
        <v>8</v>
      </c>
      <c r="AF217" s="42" t="n">
        <v>11</v>
      </c>
    </row>
  </sheetData>
  <mergeCells count="7">
    <mergeCell ref="E6:I6"/>
    <mergeCell ref="E7:I7"/>
    <mergeCell ref="F10:G10"/>
    <mergeCell ref="J10:J14"/>
    <mergeCell ref="F11:G11"/>
    <mergeCell ref="F12:G12"/>
    <mergeCell ref="E13:G13"/>
  </mergeCells>
  <dataValidations count="5">
    <dataValidation allowBlank="true" error="Допускается ввод только неотрицательных чисел!" errorStyle="stop" errorTitle="Ошибка" operator="between" showDropDown="false" showErrorMessage="true" showInputMessage="false" sqref="H2:I2 H15:I15 H17:I32 H35:I35 H38:I39 H44:I46"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43:I43" type="textLength">
      <formula1>900</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33:I33"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6:I37" type="decimal">
      <formula1>-9.99999999999999E+023</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H40:I42" type="decimal">
      <formula1>-9.99999999999999E+037</formula1>
      <formula2>9.99999999999999E+037</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21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608" width="10.71"/>
    <col collapsed="false" customWidth="true" hidden="true" outlineLevel="0" max="2" min="2" style="45" width="16.86"/>
    <col collapsed="false" customWidth="true" hidden="true" outlineLevel="0" max="3" min="3" style="49" width="5.57"/>
    <col collapsed="false" customWidth="true" hidden="false" outlineLevel="0" max="4" min="4" style="42" width="3"/>
    <col collapsed="false" customWidth="true" hidden="false" outlineLevel="0" max="5" min="5" style="42" width="7"/>
    <col collapsed="false" customWidth="true" hidden="false" outlineLevel="0" max="6" min="6" style="42" width="54"/>
    <col collapsed="false" customWidth="true" hidden="false" outlineLevel="0" max="7" min="7" style="42" width="10"/>
    <col collapsed="false" customWidth="true" hidden="true" outlineLevel="0" max="8" min="8" style="42" width="40.71"/>
    <col collapsed="false" customWidth="true" hidden="false" outlineLevel="0" max="9" min="9" style="42" width="40"/>
    <col collapsed="false" customWidth="true" hidden="false" outlineLevel="0" max="10" min="10" style="42" width="102"/>
    <col collapsed="false" customWidth="true" hidden="false" outlineLevel="0" max="11" min="11" style="45" width="9"/>
    <col collapsed="false" customWidth="true" hidden="false" outlineLevel="0" max="12" min="12" style="49" width="5"/>
    <col collapsed="false" customWidth="true" hidden="false" outlineLevel="0" max="13" min="13" style="49" width="3"/>
    <col collapsed="false" customWidth="true" hidden="false" outlineLevel="0" max="17" min="14" style="45" width="3"/>
    <col collapsed="false" customWidth="true" hidden="false" outlineLevel="0" max="18" min="18" style="49" width="10"/>
    <col collapsed="false" customWidth="true" hidden="false" outlineLevel="0" max="19" min="19" style="45" width="34"/>
    <col collapsed="false" customWidth="true" hidden="false" outlineLevel="0" max="20" min="20" style="45" width="9"/>
    <col collapsed="false" customWidth="true" hidden="false" outlineLevel="0" max="21" min="21" style="609" width="8"/>
    <col collapsed="false" customWidth="true" hidden="false" outlineLevel="0" max="26" min="22" style="45" width="8"/>
    <col collapsed="false" customWidth="true" hidden="false" outlineLevel="0" max="31" min="27" style="48" width="8"/>
    <col collapsed="false" customWidth="false" hidden="true" outlineLevel="0" max="32" min="32" style="42" width="9.15"/>
  </cols>
  <sheetData>
    <row r="1" s="45" customFormat="true" ht="22.5" hidden="true" customHeight="true" outlineLevel="0" collapsed="false">
      <c r="A1" s="608"/>
      <c r="C1" s="49"/>
      <c r="H1" s="45" t="n">
        <v>4</v>
      </c>
      <c r="I1" s="45" t="n">
        <v>4</v>
      </c>
      <c r="L1" s="49"/>
      <c r="M1" s="49"/>
      <c r="R1" s="49"/>
      <c r="AF1" s="45" t="s">
        <v>14</v>
      </c>
    </row>
    <row r="2" s="45" customFormat="true" ht="22.5" hidden="true" customHeight="true" outlineLevel="0" collapsed="false">
      <c r="A2" s="608"/>
      <c r="C2" s="49"/>
      <c r="D2" s="618"/>
      <c r="E2" s="150"/>
      <c r="F2" s="152"/>
      <c r="G2" s="150" t="s">
        <v>549</v>
      </c>
      <c r="H2" s="441"/>
      <c r="I2" s="441"/>
      <c r="J2" s="619" t="s">
        <v>552</v>
      </c>
      <c r="K2" s="613"/>
      <c r="L2" s="49"/>
      <c r="M2" s="49"/>
      <c r="R2" s="49"/>
      <c r="U2" s="609"/>
      <c r="AA2" s="48"/>
      <c r="AB2" s="48"/>
      <c r="AC2" s="48"/>
      <c r="AD2" s="48"/>
      <c r="AE2" s="48"/>
      <c r="AF2" s="45" t="n">
        <v>0</v>
      </c>
    </row>
    <row r="3" customFormat="false" ht="11.25" hidden="true" customHeight="true" outlineLevel="0" collapsed="false">
      <c r="AF3" s="42" t="n">
        <v>0</v>
      </c>
    </row>
    <row r="4" s="48" customFormat="true" ht="11.25" hidden="true" customHeight="true" outlineLevel="0" collapsed="false">
      <c r="A4" s="608"/>
      <c r="B4" s="45"/>
      <c r="C4" s="49"/>
      <c r="J4" s="48" t="n">
        <v>4</v>
      </c>
      <c r="K4" s="45"/>
      <c r="L4" s="49"/>
      <c r="M4" s="49"/>
      <c r="N4" s="45"/>
      <c r="O4" s="45"/>
      <c r="P4" s="45"/>
      <c r="Q4" s="45"/>
      <c r="R4" s="49"/>
      <c r="S4" s="45"/>
      <c r="T4" s="45"/>
      <c r="U4" s="609"/>
      <c r="V4" s="45"/>
      <c r="W4" s="45"/>
      <c r="X4" s="45"/>
      <c r="Y4" s="45"/>
      <c r="Z4" s="45"/>
      <c r="AF4" s="48" t="n">
        <v>0</v>
      </c>
    </row>
    <row r="5" customFormat="false" ht="11.25" hidden="false" customHeight="true" outlineLevel="0" collapsed="false">
      <c r="AF5" s="42" t="n">
        <v>11</v>
      </c>
    </row>
    <row r="6" customFormat="false" ht="33.75" hidden="false" customHeight="true" outlineLevel="0" collapsed="false">
      <c r="E6" s="215" t="s">
        <v>772</v>
      </c>
      <c r="F6" s="215"/>
      <c r="G6" s="215"/>
      <c r="H6" s="215"/>
      <c r="I6" s="215"/>
      <c r="J6" s="217"/>
      <c r="AF6" s="42" t="n">
        <v>32</v>
      </c>
    </row>
    <row r="7" customFormat="false" ht="24.75" hidden="false" customHeight="true" outlineLevel="0" collapsed="false">
      <c r="E7" s="259" t="str">
        <f aca="false">IF(org=0,"Не определено",org)</f>
        <v>Филиал ПАО "ОГК-2" - Серовская ГРЭС, г. Серов</v>
      </c>
      <c r="F7" s="259"/>
      <c r="G7" s="259"/>
      <c r="H7" s="259"/>
      <c r="I7" s="259"/>
      <c r="AF7" s="42" t="n">
        <v>24</v>
      </c>
    </row>
    <row r="8" customFormat="false" ht="11.25" hidden="false" customHeight="true" outlineLevel="0" collapsed="false">
      <c r="E8" s="622"/>
      <c r="F8" s="622"/>
      <c r="G8" s="622"/>
      <c r="H8" s="622"/>
      <c r="I8" s="622"/>
      <c r="AF8" s="42" t="n">
        <v>11</v>
      </c>
    </row>
    <row r="9" s="49" customFormat="true" ht="0.75" hidden="false" customHeight="true" outlineLevel="0" collapsed="false">
      <c r="A9" s="462"/>
      <c r="H9" s="623"/>
      <c r="I9" s="623" t="s">
        <v>115</v>
      </c>
      <c r="AF9" s="49" t="n">
        <v>1</v>
      </c>
    </row>
    <row r="10" customFormat="false" ht="11.25" hidden="false" customHeight="true" outlineLevel="0" collapsed="false">
      <c r="E10" s="624"/>
      <c r="F10" s="625" t="s">
        <v>103</v>
      </c>
      <c r="G10" s="625"/>
      <c r="H10" s="626" t="str">
        <f aca="false">IF(H9="","",INDEX(DIFFERENTIATION_UNMERGE_VD,MATCH(H9,DIFFERENTIATION_ID_DIFF,0)))</f>
        <v/>
      </c>
      <c r="I10" s="626" t="str">
        <f aca="false">IF(I9="","",INDEX(DIFFERENTIATION_UNMERGE_VD,MATCH(I9,DIFFERENTIATION_ID_DIFF,0)))</f>
        <v>Водоотведение; Транспортировка</v>
      </c>
      <c r="J10" s="138"/>
      <c r="AF10" s="42" t="n">
        <v>11</v>
      </c>
    </row>
    <row r="11" customFormat="false" ht="11.25" hidden="false" customHeight="true" outlineLevel="0" collapsed="false">
      <c r="E11" s="624"/>
      <c r="F11" s="625" t="s">
        <v>561</v>
      </c>
      <c r="G11" s="625"/>
      <c r="H11" s="626" t="str">
        <f aca="false">IF(H9="","",INDEX(DIFFERENTIATION_UNMERGE_AREA,MATCH(H9,DIFFERENTIATION_ID_DIFF,0)))</f>
        <v/>
      </c>
      <c r="I11" s="626" t="str">
        <f aca="false">IF(I9="","",INDEX(DIFFERENTIATION_UNMERGE_AREA,MATCH(I9,DIFFERENTIATION_ID_DIFF,0)))</f>
        <v>Территория 1</v>
      </c>
      <c r="J11" s="138"/>
      <c r="AF11" s="42" t="n">
        <v>11</v>
      </c>
    </row>
    <row r="12" customFormat="false" ht="11.25" hidden="true" customHeight="true" outlineLevel="0" collapsed="false">
      <c r="E12" s="709"/>
      <c r="F12" s="736" t="s">
        <v>562</v>
      </c>
      <c r="G12" s="736"/>
      <c r="H12" s="737" t="str">
        <f aca="false">IF(H9="","",INDEX(DIFFERENTIATION_UNMERGE_SYSTEM,MATCH(H9,DIFFERENTIATION_ID_DIFF,0)))</f>
        <v/>
      </c>
      <c r="I12" s="737" t="str">
        <f aca="false">IF(I9="","",INDEX(DIFFERENTIATION_UNMERGE_SYSTEM,MATCH(I9,DIFFERENTIATION_ID_DIFF,0)))</f>
        <v>без дифференциации</v>
      </c>
      <c r="J12" s="138"/>
      <c r="AF12" s="42" t="n">
        <v>0</v>
      </c>
    </row>
    <row r="13" customFormat="false" ht="11.25" hidden="false" customHeight="true" outlineLevel="0" collapsed="false">
      <c r="E13" s="627" t="s">
        <v>297</v>
      </c>
      <c r="F13" s="627"/>
      <c r="G13" s="627"/>
      <c r="H13" s="628"/>
      <c r="I13" s="628"/>
      <c r="J13" s="138"/>
      <c r="AF13" s="42" t="n">
        <v>11</v>
      </c>
    </row>
    <row r="14" customFormat="false" ht="24" hidden="false" customHeight="true" outlineLevel="0" collapsed="false">
      <c r="E14" s="150" t="s">
        <v>86</v>
      </c>
      <c r="F14" s="150" t="s">
        <v>299</v>
      </c>
      <c r="G14" s="150" t="s">
        <v>563</v>
      </c>
      <c r="H14" s="150" t="s">
        <v>300</v>
      </c>
      <c r="I14" s="150" t="s">
        <v>300</v>
      </c>
      <c r="J14" s="138"/>
      <c r="AF14" s="42" t="n">
        <v>23</v>
      </c>
    </row>
    <row r="15" customFormat="false" ht="19.5" hidden="false" customHeight="true" outlineLevel="0" collapsed="false">
      <c r="D15" s="118"/>
      <c r="E15" s="712" t="s">
        <v>107</v>
      </c>
      <c r="F15" s="629" t="s">
        <v>773</v>
      </c>
      <c r="G15" s="150" t="s">
        <v>549</v>
      </c>
      <c r="H15" s="630"/>
      <c r="I15" s="630"/>
      <c r="J15" s="423" t="s">
        <v>774</v>
      </c>
      <c r="K15" s="613" t="s">
        <v>627</v>
      </c>
      <c r="AF15" s="42" t="n">
        <v>19</v>
      </c>
    </row>
    <row r="16" customFormat="false" ht="24" hidden="false" customHeight="true" outlineLevel="0" collapsed="false">
      <c r="D16" s="118"/>
      <c r="E16" s="712" t="s">
        <v>108</v>
      </c>
      <c r="F16" s="266" t="s">
        <v>775</v>
      </c>
      <c r="G16" s="150" t="s">
        <v>549</v>
      </c>
      <c r="H16" s="631" t="n">
        <f aca="false">SUM(H17,H20:H27)</f>
        <v>0</v>
      </c>
      <c r="I16" s="631" t="n">
        <f aca="false">SUM(I17,I20:I27)</f>
        <v>0</v>
      </c>
      <c r="J16" s="423" t="s">
        <v>776</v>
      </c>
      <c r="K16" s="613" t="s">
        <v>627</v>
      </c>
      <c r="AF16" s="42" t="n">
        <v>23</v>
      </c>
    </row>
    <row r="17" customFormat="false" ht="35.25" hidden="false" customHeight="true" outlineLevel="0" collapsed="false">
      <c r="D17" s="118"/>
      <c r="E17" s="718" t="s">
        <v>706</v>
      </c>
      <c r="F17" s="327" t="s">
        <v>777</v>
      </c>
      <c r="G17" s="506" t="s">
        <v>549</v>
      </c>
      <c r="H17" s="630"/>
      <c r="I17" s="630"/>
      <c r="J17" s="423" t="s">
        <v>778</v>
      </c>
      <c r="K17" s="613"/>
      <c r="AF17" s="42" t="n">
        <v>34</v>
      </c>
    </row>
    <row r="18" customFormat="false" ht="19.5" hidden="false" customHeight="true" outlineLevel="0" collapsed="false">
      <c r="D18" s="118"/>
      <c r="E18" s="718" t="s">
        <v>709</v>
      </c>
      <c r="F18" s="740" t="s">
        <v>779</v>
      </c>
      <c r="G18" s="506" t="s">
        <v>549</v>
      </c>
      <c r="H18" s="630"/>
      <c r="I18" s="630"/>
      <c r="J18" s="423"/>
      <c r="K18" s="613"/>
      <c r="AF18" s="42" t="n">
        <v>19</v>
      </c>
    </row>
    <row r="19" customFormat="false" ht="24" hidden="false" customHeight="true" outlineLevel="0" collapsed="false">
      <c r="D19" s="118"/>
      <c r="E19" s="718" t="s">
        <v>712</v>
      </c>
      <c r="F19" s="740" t="s">
        <v>780</v>
      </c>
      <c r="G19" s="506" t="s">
        <v>549</v>
      </c>
      <c r="H19" s="630"/>
      <c r="I19" s="630"/>
      <c r="J19" s="423"/>
      <c r="K19" s="613"/>
      <c r="AF19" s="42" t="n">
        <v>23</v>
      </c>
    </row>
    <row r="20" customFormat="false" ht="35.25" hidden="false" customHeight="true" outlineLevel="0" collapsed="false">
      <c r="D20" s="118"/>
      <c r="E20" s="718" t="s">
        <v>304</v>
      </c>
      <c r="F20" s="327" t="s">
        <v>781</v>
      </c>
      <c r="G20" s="506" t="s">
        <v>549</v>
      </c>
      <c r="H20" s="630"/>
      <c r="I20" s="630"/>
      <c r="J20" s="423"/>
      <c r="K20" s="613"/>
      <c r="AF20" s="42" t="n">
        <v>34</v>
      </c>
    </row>
    <row r="21" customFormat="false" ht="48" hidden="false" customHeight="true" outlineLevel="0" collapsed="false">
      <c r="D21" s="118"/>
      <c r="E21" s="718" t="s">
        <v>307</v>
      </c>
      <c r="F21" s="327" t="s">
        <v>782</v>
      </c>
      <c r="G21" s="506" t="s">
        <v>549</v>
      </c>
      <c r="H21" s="630"/>
      <c r="I21" s="630"/>
      <c r="J21" s="423"/>
      <c r="K21" s="613"/>
      <c r="AF21" s="42" t="n">
        <v>46</v>
      </c>
    </row>
    <row r="22" customFormat="false" ht="60" hidden="false" customHeight="true" outlineLevel="0" collapsed="false">
      <c r="D22" s="118"/>
      <c r="E22" s="718" t="s">
        <v>726</v>
      </c>
      <c r="F22" s="327" t="s">
        <v>783</v>
      </c>
      <c r="G22" s="506" t="s">
        <v>549</v>
      </c>
      <c r="H22" s="630"/>
      <c r="I22" s="630"/>
      <c r="J22" s="423"/>
      <c r="K22" s="613"/>
      <c r="AF22" s="42" t="n">
        <v>57</v>
      </c>
    </row>
    <row r="23" customFormat="false" ht="35.25" hidden="false" customHeight="true" outlineLevel="0" collapsed="false">
      <c r="D23" s="118"/>
      <c r="E23" s="718" t="s">
        <v>733</v>
      </c>
      <c r="F23" s="327" t="s">
        <v>784</v>
      </c>
      <c r="G23" s="506" t="s">
        <v>549</v>
      </c>
      <c r="H23" s="630"/>
      <c r="I23" s="630"/>
      <c r="J23" s="423"/>
      <c r="K23" s="613"/>
      <c r="AF23" s="42" t="n">
        <v>34</v>
      </c>
    </row>
    <row r="24" customFormat="false" ht="35.25" hidden="false" customHeight="true" outlineLevel="0" collapsed="false">
      <c r="D24" s="118"/>
      <c r="E24" s="718" t="s">
        <v>735</v>
      </c>
      <c r="F24" s="327" t="s">
        <v>785</v>
      </c>
      <c r="G24" s="506" t="s">
        <v>549</v>
      </c>
      <c r="H24" s="630"/>
      <c r="I24" s="630"/>
      <c r="J24" s="423"/>
      <c r="K24" s="613"/>
      <c r="AF24" s="42" t="n">
        <v>34</v>
      </c>
    </row>
    <row r="25" customFormat="false" ht="24" hidden="false" customHeight="true" outlineLevel="0" collapsed="false">
      <c r="D25" s="118"/>
      <c r="E25" s="718" t="s">
        <v>737</v>
      </c>
      <c r="F25" s="327" t="s">
        <v>786</v>
      </c>
      <c r="G25" s="506" t="s">
        <v>549</v>
      </c>
      <c r="H25" s="630"/>
      <c r="I25" s="630"/>
      <c r="J25" s="423"/>
      <c r="K25" s="613"/>
      <c r="AF25" s="42" t="n">
        <v>23</v>
      </c>
    </row>
    <row r="26" customFormat="false" ht="76.5" hidden="false" customHeight="true" outlineLevel="0" collapsed="false">
      <c r="D26" s="118"/>
      <c r="E26" s="718" t="s">
        <v>739</v>
      </c>
      <c r="F26" s="327" t="s">
        <v>787</v>
      </c>
      <c r="G26" s="506" t="s">
        <v>549</v>
      </c>
      <c r="H26" s="630"/>
      <c r="I26" s="630"/>
      <c r="J26" s="423"/>
      <c r="K26" s="613"/>
      <c r="AF26" s="42" t="n">
        <v>73</v>
      </c>
    </row>
    <row r="27" s="45" customFormat="true" ht="35.25" hidden="false" customHeight="true" outlineLevel="0" collapsed="false">
      <c r="A27" s="608"/>
      <c r="C27" s="49"/>
      <c r="D27" s="118"/>
      <c r="E27" s="714" t="s">
        <v>743</v>
      </c>
      <c r="F27" s="741" t="s">
        <v>788</v>
      </c>
      <c r="G27" s="260" t="s">
        <v>549</v>
      </c>
      <c r="H27" s="653" t="n">
        <f aca="false">SUM(H28:H29)</f>
        <v>0</v>
      </c>
      <c r="I27" s="653" t="n">
        <f aca="false">SUM(I28:I29)</f>
        <v>0</v>
      </c>
      <c r="J27" s="423" t="s">
        <v>741</v>
      </c>
      <c r="K27" s="613"/>
      <c r="L27" s="49"/>
      <c r="M27" s="49"/>
      <c r="R27" s="49"/>
      <c r="U27" s="609"/>
      <c r="AA27" s="48"/>
      <c r="AB27" s="48"/>
      <c r="AC27" s="48"/>
      <c r="AD27" s="48"/>
      <c r="AE27" s="48"/>
      <c r="AF27" s="45" t="n">
        <v>34</v>
      </c>
    </row>
    <row r="28" s="49" customFormat="true" ht="0.75" hidden="false" customHeight="true" outlineLevel="0" collapsed="false">
      <c r="A28" s="462"/>
      <c r="D28" s="462"/>
      <c r="E28" s="151" t="str">
        <f aca="false">E27&amp;".0"</f>
        <v>2.9.0</v>
      </c>
      <c r="F28" s="654"/>
      <c r="G28" s="151"/>
      <c r="H28" s="655"/>
      <c r="I28" s="655"/>
      <c r="J28" s="656"/>
      <c r="AF28" s="49" t="n">
        <v>1</v>
      </c>
    </row>
    <row r="29" s="45" customFormat="true" ht="19.5" hidden="false" customHeight="true" outlineLevel="0" collapsed="false">
      <c r="A29" s="608"/>
      <c r="C29" s="49"/>
      <c r="D29" s="121"/>
      <c r="E29" s="643"/>
      <c r="F29" s="738" t="s">
        <v>574</v>
      </c>
      <c r="G29" s="644"/>
      <c r="H29" s="645"/>
      <c r="I29" s="645"/>
      <c r="J29" s="481" t="s">
        <v>742</v>
      </c>
      <c r="K29" s="613"/>
      <c r="L29" s="49"/>
      <c r="M29" s="49"/>
      <c r="R29" s="49"/>
      <c r="U29" s="609"/>
      <c r="AA29" s="48"/>
      <c r="AB29" s="48"/>
      <c r="AC29" s="48"/>
      <c r="AD29" s="48"/>
      <c r="AE29" s="48"/>
      <c r="AF29" s="45" t="n">
        <v>19</v>
      </c>
    </row>
    <row r="30" s="45" customFormat="true" ht="24" hidden="false" customHeight="true" outlineLevel="0" collapsed="false">
      <c r="A30" s="608"/>
      <c r="C30" s="49"/>
      <c r="D30" s="118"/>
      <c r="E30" s="718" t="s">
        <v>88</v>
      </c>
      <c r="F30" s="742" t="s">
        <v>789</v>
      </c>
      <c r="G30" s="506" t="s">
        <v>549</v>
      </c>
      <c r="H30" s="630"/>
      <c r="I30" s="630"/>
      <c r="J30" s="423"/>
      <c r="K30" s="613"/>
      <c r="L30" s="49"/>
      <c r="M30" s="49"/>
      <c r="R30" s="49"/>
      <c r="U30" s="609"/>
      <c r="AA30" s="48"/>
      <c r="AB30" s="48"/>
      <c r="AC30" s="48"/>
      <c r="AD30" s="48"/>
      <c r="AE30" s="48"/>
      <c r="AF30" s="45" t="n">
        <v>23</v>
      </c>
    </row>
    <row r="31" s="45" customFormat="true" ht="35.25" hidden="false" customHeight="true" outlineLevel="0" collapsed="false">
      <c r="A31" s="608"/>
      <c r="C31" s="49"/>
      <c r="D31" s="649"/>
      <c r="E31" s="718" t="s">
        <v>89</v>
      </c>
      <c r="F31" s="742" t="s">
        <v>790</v>
      </c>
      <c r="G31" s="506" t="s">
        <v>549</v>
      </c>
      <c r="H31" s="630"/>
      <c r="I31" s="630"/>
      <c r="J31" s="423" t="s">
        <v>791</v>
      </c>
      <c r="K31" s="613"/>
      <c r="L31" s="49"/>
      <c r="M31" s="49"/>
      <c r="R31" s="49"/>
      <c r="U31" s="609"/>
      <c r="AA31" s="48"/>
      <c r="AB31" s="48"/>
      <c r="AC31" s="48"/>
      <c r="AD31" s="48"/>
      <c r="AE31" s="48"/>
      <c r="AF31" s="45" t="n">
        <v>34</v>
      </c>
    </row>
    <row r="32" s="45" customFormat="true" ht="24" hidden="false" customHeight="true" outlineLevel="0" collapsed="false">
      <c r="A32" s="608"/>
      <c r="C32" s="49"/>
      <c r="D32" s="118"/>
      <c r="E32" s="718" t="s">
        <v>751</v>
      </c>
      <c r="F32" s="327" t="s">
        <v>755</v>
      </c>
      <c r="G32" s="506" t="s">
        <v>549</v>
      </c>
      <c r="H32" s="630"/>
      <c r="I32" s="630"/>
      <c r="J32" s="423" t="s">
        <v>792</v>
      </c>
      <c r="K32" s="613"/>
      <c r="L32" s="49"/>
      <c r="M32" s="49"/>
      <c r="R32" s="49"/>
      <c r="U32" s="609"/>
      <c r="AA32" s="48"/>
      <c r="AB32" s="48"/>
      <c r="AC32" s="48"/>
      <c r="AD32" s="48"/>
      <c r="AE32" s="48"/>
      <c r="AF32" s="45" t="n">
        <v>23</v>
      </c>
    </row>
    <row r="33" s="45" customFormat="true" ht="24" hidden="false" customHeight="true" outlineLevel="0" collapsed="false">
      <c r="A33" s="608"/>
      <c r="C33" s="49"/>
      <c r="D33" s="118"/>
      <c r="E33" s="718" t="s">
        <v>793</v>
      </c>
      <c r="F33" s="327" t="s">
        <v>794</v>
      </c>
      <c r="G33" s="506" t="s">
        <v>549</v>
      </c>
      <c r="H33" s="630"/>
      <c r="I33" s="630"/>
      <c r="J33" s="423" t="s">
        <v>795</v>
      </c>
      <c r="K33" s="613"/>
      <c r="L33" s="49"/>
      <c r="M33" s="49"/>
      <c r="R33" s="49"/>
      <c r="U33" s="609"/>
      <c r="AA33" s="48"/>
      <c r="AB33" s="48"/>
      <c r="AC33" s="48"/>
      <c r="AD33" s="48"/>
      <c r="AE33" s="48"/>
      <c r="AF33" s="45" t="n">
        <v>23</v>
      </c>
    </row>
    <row r="34" s="45" customFormat="true" ht="24" hidden="false" customHeight="true" outlineLevel="0" collapsed="false">
      <c r="A34" s="608"/>
      <c r="C34" s="49"/>
      <c r="D34" s="118"/>
      <c r="E34" s="718" t="s">
        <v>796</v>
      </c>
      <c r="F34" s="327" t="s">
        <v>761</v>
      </c>
      <c r="G34" s="506" t="s">
        <v>549</v>
      </c>
      <c r="H34" s="630"/>
      <c r="I34" s="630"/>
      <c r="J34" s="423" t="s">
        <v>797</v>
      </c>
      <c r="K34" s="613"/>
      <c r="L34" s="49"/>
      <c r="M34" s="49"/>
      <c r="R34" s="49"/>
      <c r="U34" s="609"/>
      <c r="AA34" s="48"/>
      <c r="AB34" s="48"/>
      <c r="AC34" s="48"/>
      <c r="AD34" s="48"/>
      <c r="AE34" s="48"/>
      <c r="AF34" s="45" t="n">
        <v>23</v>
      </c>
    </row>
    <row r="35" s="45" customFormat="true" ht="35.25" hidden="false" customHeight="true" outlineLevel="0" collapsed="false">
      <c r="A35" s="608"/>
      <c r="C35" s="49" t="s">
        <v>585</v>
      </c>
      <c r="D35" s="118"/>
      <c r="E35" s="718" t="s">
        <v>109</v>
      </c>
      <c r="F35" s="742" t="s">
        <v>626</v>
      </c>
      <c r="G35" s="150" t="s">
        <v>303</v>
      </c>
      <c r="H35" s="662"/>
      <c r="I35" s="662"/>
      <c r="J35" s="612" t="s">
        <v>798</v>
      </c>
      <c r="K35" s="613"/>
      <c r="L35" s="49"/>
      <c r="M35" s="49"/>
      <c r="R35" s="49"/>
      <c r="U35" s="609"/>
      <c r="AA35" s="48"/>
      <c r="AB35" s="48"/>
      <c r="AC35" s="48"/>
      <c r="AD35" s="48"/>
      <c r="AE35" s="48"/>
      <c r="AF35" s="45" t="n">
        <v>34</v>
      </c>
    </row>
    <row r="36" s="45" customFormat="true" ht="35.25" hidden="false" customHeight="true" outlineLevel="0" collapsed="false">
      <c r="A36" s="608"/>
      <c r="C36" s="49"/>
      <c r="D36" s="118"/>
      <c r="E36" s="718" t="s">
        <v>90</v>
      </c>
      <c r="F36" s="742" t="s">
        <v>799</v>
      </c>
      <c r="G36" s="739" t="s">
        <v>766</v>
      </c>
      <c r="H36" s="620"/>
      <c r="I36" s="620"/>
      <c r="J36" s="423" t="s">
        <v>767</v>
      </c>
      <c r="K36" s="613"/>
      <c r="L36" s="49"/>
      <c r="M36" s="49"/>
      <c r="R36" s="49"/>
      <c r="U36" s="609"/>
      <c r="AA36" s="48"/>
      <c r="AB36" s="48"/>
      <c r="AC36" s="48"/>
      <c r="AD36" s="48"/>
      <c r="AE36" s="48"/>
      <c r="AF36" s="45" t="n">
        <v>34</v>
      </c>
    </row>
    <row r="37" s="45" customFormat="true" ht="24" hidden="false" customHeight="true" outlineLevel="0" collapsed="false">
      <c r="A37" s="608"/>
      <c r="C37" s="49"/>
      <c r="D37" s="118"/>
      <c r="E37" s="718" t="s">
        <v>91</v>
      </c>
      <c r="F37" s="742" t="s">
        <v>800</v>
      </c>
      <c r="G37" s="506" t="s">
        <v>769</v>
      </c>
      <c r="H37" s="620"/>
      <c r="I37" s="620"/>
      <c r="J37" s="423" t="s">
        <v>770</v>
      </c>
      <c r="K37" s="613"/>
      <c r="L37" s="49"/>
      <c r="M37" s="49"/>
      <c r="R37" s="49"/>
      <c r="U37" s="609"/>
      <c r="AA37" s="48"/>
      <c r="AB37" s="48"/>
      <c r="AC37" s="48"/>
      <c r="AD37" s="48"/>
      <c r="AE37" s="48"/>
      <c r="AF37" s="45" t="n">
        <v>23</v>
      </c>
    </row>
    <row r="38" customFormat="false" ht="11.25" hidden="false" customHeight="true" outlineLevel="0" collapsed="false">
      <c r="D38" s="118"/>
      <c r="AF38" s="42" t="n">
        <v>11</v>
      </c>
    </row>
    <row r="39" customFormat="false" ht="27" hidden="false" customHeight="true" outlineLevel="0" collapsed="false">
      <c r="D39" s="118"/>
      <c r="E39" s="414" t="s">
        <v>801</v>
      </c>
      <c r="F39" s="495" t="s">
        <v>802</v>
      </c>
      <c r="G39" s="495"/>
      <c r="H39" s="340"/>
      <c r="I39" s="340"/>
      <c r="J39" s="340"/>
      <c r="AF39" s="42" t="n">
        <v>26</v>
      </c>
    </row>
    <row r="40" s="124" customFormat="true" ht="39.75" hidden="false" customHeight="true" outlineLevel="0" collapsed="false">
      <c r="A40" s="608"/>
      <c r="B40" s="49"/>
      <c r="C40" s="49"/>
      <c r="F40" s="495" t="s">
        <v>803</v>
      </c>
      <c r="G40" s="495"/>
      <c r="H40" s="340"/>
      <c r="I40" s="340"/>
      <c r="J40" s="340"/>
      <c r="K40" s="45"/>
      <c r="L40" s="49"/>
      <c r="M40" s="49"/>
      <c r="N40" s="45"/>
      <c r="O40" s="45"/>
      <c r="P40" s="45"/>
      <c r="Q40" s="45"/>
      <c r="R40" s="49"/>
      <c r="S40" s="45"/>
      <c r="T40" s="45"/>
      <c r="U40" s="609"/>
      <c r="V40" s="45"/>
      <c r="W40" s="45"/>
      <c r="X40" s="45"/>
      <c r="Y40" s="45"/>
      <c r="Z40" s="45"/>
      <c r="AA40" s="48"/>
      <c r="AB40" s="47"/>
      <c r="AC40" s="47"/>
      <c r="AD40" s="47"/>
      <c r="AE40" s="47"/>
      <c r="AF40" s="124" t="n">
        <v>38</v>
      </c>
    </row>
    <row r="41" s="124" customFormat="true" ht="11.25" hidden="false" customHeight="true" outlineLevel="0" collapsed="false">
      <c r="A41" s="608"/>
      <c r="B41" s="49"/>
      <c r="C41" s="49"/>
      <c r="K41" s="45"/>
      <c r="L41" s="49"/>
      <c r="M41" s="49"/>
      <c r="N41" s="45"/>
      <c r="O41" s="45"/>
      <c r="P41" s="45"/>
      <c r="Q41" s="45"/>
      <c r="R41" s="49"/>
      <c r="S41" s="45"/>
      <c r="T41" s="45"/>
      <c r="U41" s="609"/>
      <c r="V41" s="45"/>
      <c r="W41" s="45"/>
      <c r="X41" s="45"/>
      <c r="Y41" s="45"/>
      <c r="Z41" s="45"/>
      <c r="AA41" s="48"/>
      <c r="AB41" s="47"/>
      <c r="AC41" s="47"/>
      <c r="AD41" s="47"/>
      <c r="AE41" s="47"/>
      <c r="AF41" s="124" t="n">
        <v>11</v>
      </c>
    </row>
    <row r="42" s="124" customFormat="true" ht="11.25" hidden="false" customHeight="true" outlineLevel="0" collapsed="false">
      <c r="A42" s="608"/>
      <c r="B42" s="49"/>
      <c r="C42" s="49"/>
      <c r="K42" s="45"/>
      <c r="L42" s="49"/>
      <c r="M42" s="49"/>
      <c r="N42" s="45"/>
      <c r="O42" s="45"/>
      <c r="P42" s="45"/>
      <c r="Q42" s="45"/>
      <c r="R42" s="49"/>
      <c r="S42" s="45"/>
      <c r="T42" s="45"/>
      <c r="U42" s="609"/>
      <c r="V42" s="45"/>
      <c r="W42" s="45"/>
      <c r="X42" s="45"/>
      <c r="Y42" s="45"/>
      <c r="Z42" s="45"/>
      <c r="AA42" s="48"/>
      <c r="AB42" s="47"/>
      <c r="AC42" s="47"/>
      <c r="AD42" s="47"/>
      <c r="AE42" s="47"/>
      <c r="AF42" s="124" t="n">
        <v>11</v>
      </c>
    </row>
    <row r="43" s="124" customFormat="true" ht="11.25" hidden="false" customHeight="true" outlineLevel="0" collapsed="false">
      <c r="A43" s="608"/>
      <c r="B43" s="49"/>
      <c r="C43" s="49"/>
      <c r="H43" s="47"/>
      <c r="I43" s="47"/>
      <c r="K43" s="45"/>
      <c r="L43" s="49"/>
      <c r="M43" s="49"/>
      <c r="N43" s="45"/>
      <c r="O43" s="45"/>
      <c r="P43" s="45"/>
      <c r="Q43" s="45"/>
      <c r="R43" s="49"/>
      <c r="S43" s="45"/>
      <c r="T43" s="45"/>
      <c r="U43" s="609"/>
      <c r="V43" s="45"/>
      <c r="W43" s="45"/>
      <c r="X43" s="45"/>
      <c r="Y43" s="45"/>
      <c r="Z43" s="45"/>
      <c r="AA43" s="48"/>
      <c r="AB43" s="47"/>
      <c r="AC43" s="47"/>
      <c r="AD43" s="47"/>
      <c r="AE43" s="47"/>
      <c r="AF43" s="124" t="n">
        <v>11</v>
      </c>
    </row>
    <row r="44" s="124" customFormat="true" ht="11.25" hidden="false" customHeight="true" outlineLevel="0" collapsed="false">
      <c r="A44" s="608"/>
      <c r="B44" s="49"/>
      <c r="C44" s="49"/>
      <c r="K44" s="45"/>
      <c r="L44" s="49"/>
      <c r="M44" s="49"/>
      <c r="N44" s="45"/>
      <c r="O44" s="45"/>
      <c r="P44" s="45"/>
      <c r="Q44" s="45"/>
      <c r="R44" s="49"/>
      <c r="S44" s="45"/>
      <c r="T44" s="45"/>
      <c r="U44" s="609"/>
      <c r="V44" s="45"/>
      <c r="W44" s="45"/>
      <c r="X44" s="45"/>
      <c r="Y44" s="45"/>
      <c r="Z44" s="45"/>
      <c r="AA44" s="48"/>
      <c r="AB44" s="47"/>
      <c r="AC44" s="47"/>
      <c r="AD44" s="47"/>
      <c r="AE44" s="47"/>
      <c r="AF44" s="124" t="n">
        <v>11</v>
      </c>
    </row>
    <row r="45" s="124" customFormat="true" ht="11.25" hidden="false" customHeight="true" outlineLevel="0" collapsed="false">
      <c r="A45" s="608"/>
      <c r="B45" s="49"/>
      <c r="C45" s="49"/>
      <c r="K45" s="45"/>
      <c r="L45" s="49"/>
      <c r="M45" s="49"/>
      <c r="N45" s="45"/>
      <c r="O45" s="45"/>
      <c r="P45" s="45"/>
      <c r="Q45" s="45"/>
      <c r="R45" s="49"/>
      <c r="S45" s="45"/>
      <c r="T45" s="45"/>
      <c r="U45" s="609"/>
      <c r="V45" s="45"/>
      <c r="W45" s="45"/>
      <c r="X45" s="45"/>
      <c r="Y45" s="45"/>
      <c r="Z45" s="45"/>
      <c r="AA45" s="48"/>
      <c r="AB45" s="47"/>
      <c r="AC45" s="47"/>
      <c r="AD45" s="47"/>
      <c r="AE45" s="47"/>
      <c r="AF45" s="124" t="n">
        <v>11</v>
      </c>
    </row>
    <row r="46" s="124" customFormat="true" ht="11.25" hidden="false" customHeight="true" outlineLevel="0" collapsed="false">
      <c r="A46" s="608"/>
      <c r="B46" s="49"/>
      <c r="C46" s="49"/>
      <c r="K46" s="45"/>
      <c r="L46" s="49"/>
      <c r="M46" s="49"/>
      <c r="N46" s="45"/>
      <c r="O46" s="45"/>
      <c r="P46" s="45"/>
      <c r="Q46" s="45"/>
      <c r="R46" s="49"/>
      <c r="S46" s="45"/>
      <c r="T46" s="45"/>
      <c r="U46" s="609"/>
      <c r="V46" s="45"/>
      <c r="W46" s="45"/>
      <c r="X46" s="45"/>
      <c r="Y46" s="45"/>
      <c r="Z46" s="45"/>
      <c r="AA46" s="48"/>
      <c r="AB46" s="47"/>
      <c r="AC46" s="47"/>
      <c r="AD46" s="47"/>
      <c r="AE46" s="47"/>
      <c r="AF46" s="124" t="n">
        <v>11</v>
      </c>
    </row>
    <row r="47" s="124" customFormat="true" ht="11.25" hidden="false" customHeight="true" outlineLevel="0" collapsed="false">
      <c r="A47" s="608"/>
      <c r="B47" s="49"/>
      <c r="C47" s="49"/>
      <c r="K47" s="45"/>
      <c r="L47" s="49"/>
      <c r="M47" s="49"/>
      <c r="N47" s="45"/>
      <c r="O47" s="45"/>
      <c r="P47" s="45"/>
      <c r="Q47" s="45"/>
      <c r="R47" s="49"/>
      <c r="S47" s="45"/>
      <c r="T47" s="45"/>
      <c r="U47" s="609"/>
      <c r="V47" s="45"/>
      <c r="W47" s="45"/>
      <c r="X47" s="45"/>
      <c r="Y47" s="45"/>
      <c r="Z47" s="45"/>
      <c r="AA47" s="48"/>
      <c r="AB47" s="47"/>
      <c r="AC47" s="47"/>
      <c r="AD47" s="47"/>
      <c r="AE47" s="47"/>
      <c r="AF47" s="124" t="n">
        <v>11</v>
      </c>
    </row>
    <row r="48" s="124" customFormat="true" ht="11.25" hidden="false" customHeight="true" outlineLevel="0" collapsed="false">
      <c r="A48" s="608"/>
      <c r="B48" s="49"/>
      <c r="C48" s="49"/>
      <c r="K48" s="45"/>
      <c r="L48" s="49"/>
      <c r="M48" s="49"/>
      <c r="N48" s="45"/>
      <c r="O48" s="45"/>
      <c r="P48" s="45"/>
      <c r="Q48" s="45"/>
      <c r="R48" s="49"/>
      <c r="S48" s="45"/>
      <c r="T48" s="45"/>
      <c r="U48" s="609"/>
      <c r="V48" s="45"/>
      <c r="W48" s="45"/>
      <c r="X48" s="45"/>
      <c r="Y48" s="45"/>
      <c r="Z48" s="45"/>
      <c r="AA48" s="48"/>
      <c r="AB48" s="47"/>
      <c r="AC48" s="47"/>
      <c r="AD48" s="47"/>
      <c r="AE48" s="47"/>
      <c r="AF48" s="124" t="n">
        <v>11</v>
      </c>
    </row>
    <row r="49" s="124" customFormat="true" ht="11.25" hidden="false" customHeight="true" outlineLevel="0" collapsed="false">
      <c r="A49" s="608"/>
      <c r="B49" s="49"/>
      <c r="C49" s="49"/>
      <c r="K49" s="45"/>
      <c r="L49" s="49"/>
      <c r="M49" s="49"/>
      <c r="N49" s="45"/>
      <c r="O49" s="45"/>
      <c r="P49" s="45"/>
      <c r="Q49" s="45"/>
      <c r="R49" s="49"/>
      <c r="S49" s="45"/>
      <c r="T49" s="45"/>
      <c r="U49" s="609"/>
      <c r="V49" s="45"/>
      <c r="W49" s="45"/>
      <c r="X49" s="45"/>
      <c r="Y49" s="45"/>
      <c r="Z49" s="45"/>
      <c r="AA49" s="48"/>
      <c r="AB49" s="47"/>
      <c r="AC49" s="47"/>
      <c r="AD49" s="47"/>
      <c r="AE49" s="47"/>
      <c r="AF49" s="124" t="n">
        <v>11</v>
      </c>
    </row>
    <row r="50" s="124" customFormat="true" ht="11.25" hidden="false" customHeight="true" outlineLevel="0" collapsed="false">
      <c r="A50" s="608"/>
      <c r="B50" s="49"/>
      <c r="C50" s="49"/>
      <c r="K50" s="45"/>
      <c r="L50" s="49"/>
      <c r="M50" s="49"/>
      <c r="N50" s="45"/>
      <c r="O50" s="45"/>
      <c r="P50" s="45"/>
      <c r="Q50" s="45"/>
      <c r="R50" s="49"/>
      <c r="S50" s="45"/>
      <c r="T50" s="45"/>
      <c r="U50" s="609"/>
      <c r="V50" s="45"/>
      <c r="W50" s="45"/>
      <c r="X50" s="45"/>
      <c r="Y50" s="45"/>
      <c r="Z50" s="45"/>
      <c r="AA50" s="48"/>
      <c r="AB50" s="47"/>
      <c r="AC50" s="47"/>
      <c r="AD50" s="47"/>
      <c r="AE50" s="47"/>
      <c r="AF50" s="124" t="n">
        <v>11</v>
      </c>
    </row>
    <row r="51" s="124" customFormat="true" ht="11.25" hidden="false" customHeight="true" outlineLevel="0" collapsed="false">
      <c r="A51" s="608"/>
      <c r="B51" s="49"/>
      <c r="C51" s="49"/>
      <c r="K51" s="45"/>
      <c r="L51" s="49"/>
      <c r="M51" s="49"/>
      <c r="N51" s="45"/>
      <c r="O51" s="45"/>
      <c r="P51" s="45"/>
      <c r="Q51" s="45"/>
      <c r="R51" s="49"/>
      <c r="S51" s="45"/>
      <c r="T51" s="45"/>
      <c r="U51" s="609"/>
      <c r="V51" s="45"/>
      <c r="W51" s="45"/>
      <c r="X51" s="45"/>
      <c r="Y51" s="45"/>
      <c r="Z51" s="45"/>
      <c r="AA51" s="48"/>
      <c r="AB51" s="47"/>
      <c r="AC51" s="47"/>
      <c r="AD51" s="47"/>
      <c r="AE51" s="47"/>
      <c r="AF51" s="124" t="n">
        <v>11</v>
      </c>
    </row>
    <row r="52" s="124" customFormat="true" ht="11.25" hidden="false" customHeight="true" outlineLevel="0" collapsed="false">
      <c r="A52" s="608"/>
      <c r="B52" s="49"/>
      <c r="C52" s="49"/>
      <c r="K52" s="45"/>
      <c r="L52" s="49"/>
      <c r="M52" s="49"/>
      <c r="N52" s="45"/>
      <c r="O52" s="45"/>
      <c r="P52" s="45"/>
      <c r="Q52" s="45"/>
      <c r="R52" s="49"/>
      <c r="S52" s="45"/>
      <c r="T52" s="45"/>
      <c r="U52" s="609"/>
      <c r="V52" s="45"/>
      <c r="W52" s="45"/>
      <c r="X52" s="45"/>
      <c r="Y52" s="45"/>
      <c r="Z52" s="45"/>
      <c r="AA52" s="48"/>
      <c r="AB52" s="47"/>
      <c r="AC52" s="47"/>
      <c r="AD52" s="47"/>
      <c r="AE52" s="47"/>
      <c r="AF52" s="124" t="n">
        <v>11</v>
      </c>
    </row>
    <row r="53" s="124" customFormat="true" ht="11.25" hidden="false" customHeight="true" outlineLevel="0" collapsed="false">
      <c r="A53" s="608"/>
      <c r="B53" s="49"/>
      <c r="C53" s="49"/>
      <c r="K53" s="45"/>
      <c r="L53" s="49"/>
      <c r="M53" s="49"/>
      <c r="N53" s="45"/>
      <c r="O53" s="45"/>
      <c r="P53" s="45"/>
      <c r="Q53" s="45"/>
      <c r="R53" s="49"/>
      <c r="S53" s="45"/>
      <c r="T53" s="45"/>
      <c r="U53" s="609"/>
      <c r="V53" s="45"/>
      <c r="W53" s="45"/>
      <c r="X53" s="45"/>
      <c r="Y53" s="45"/>
      <c r="Z53" s="45"/>
      <c r="AA53" s="48"/>
      <c r="AB53" s="47"/>
      <c r="AC53" s="47"/>
      <c r="AD53" s="47"/>
      <c r="AE53" s="47"/>
      <c r="AF53" s="124" t="n">
        <v>11</v>
      </c>
    </row>
    <row r="54" s="124" customFormat="true" ht="11.25" hidden="false" customHeight="true" outlineLevel="0" collapsed="false">
      <c r="A54" s="608"/>
      <c r="B54" s="49"/>
      <c r="C54" s="49"/>
      <c r="K54" s="45"/>
      <c r="L54" s="49"/>
      <c r="M54" s="49"/>
      <c r="N54" s="45"/>
      <c r="O54" s="45"/>
      <c r="P54" s="45"/>
      <c r="Q54" s="45"/>
      <c r="R54" s="49"/>
      <c r="S54" s="45"/>
      <c r="T54" s="45"/>
      <c r="U54" s="609"/>
      <c r="V54" s="45"/>
      <c r="W54" s="45"/>
      <c r="X54" s="45"/>
      <c r="Y54" s="45"/>
      <c r="Z54" s="45"/>
      <c r="AA54" s="48"/>
      <c r="AB54" s="47"/>
      <c r="AC54" s="47"/>
      <c r="AD54" s="47"/>
      <c r="AE54" s="47"/>
      <c r="AF54" s="124" t="n">
        <v>11</v>
      </c>
    </row>
    <row r="55" s="124" customFormat="true" ht="11.25" hidden="false" customHeight="true" outlineLevel="0" collapsed="false">
      <c r="A55" s="608"/>
      <c r="B55" s="49"/>
      <c r="C55" s="49"/>
      <c r="K55" s="45"/>
      <c r="L55" s="49"/>
      <c r="M55" s="49"/>
      <c r="N55" s="45"/>
      <c r="O55" s="45"/>
      <c r="P55" s="45"/>
      <c r="Q55" s="45"/>
      <c r="R55" s="49"/>
      <c r="S55" s="45"/>
      <c r="T55" s="45"/>
      <c r="U55" s="609"/>
      <c r="V55" s="45"/>
      <c r="W55" s="45"/>
      <c r="X55" s="45"/>
      <c r="Y55" s="45"/>
      <c r="Z55" s="45"/>
      <c r="AA55" s="48"/>
      <c r="AB55" s="47"/>
      <c r="AC55" s="47"/>
      <c r="AD55" s="47"/>
      <c r="AE55" s="47"/>
      <c r="AF55" s="124" t="n">
        <v>11</v>
      </c>
    </row>
    <row r="56" s="124" customFormat="true" ht="11.25" hidden="false" customHeight="true" outlineLevel="0" collapsed="false">
      <c r="A56" s="608"/>
      <c r="B56" s="49"/>
      <c r="C56" s="49"/>
      <c r="K56" s="45"/>
      <c r="L56" s="49"/>
      <c r="M56" s="49"/>
      <c r="N56" s="45"/>
      <c r="O56" s="45"/>
      <c r="P56" s="45"/>
      <c r="Q56" s="45"/>
      <c r="R56" s="49"/>
      <c r="S56" s="45"/>
      <c r="T56" s="45"/>
      <c r="U56" s="609"/>
      <c r="V56" s="45"/>
      <c r="W56" s="45"/>
      <c r="X56" s="45"/>
      <c r="Y56" s="45"/>
      <c r="Z56" s="45"/>
      <c r="AA56" s="48"/>
      <c r="AB56" s="47"/>
      <c r="AC56" s="47"/>
      <c r="AD56" s="47"/>
      <c r="AE56" s="47"/>
      <c r="AF56" s="124" t="n">
        <v>11</v>
      </c>
    </row>
    <row r="57" s="124" customFormat="true" ht="11.25" hidden="false" customHeight="true" outlineLevel="0" collapsed="false">
      <c r="A57" s="608"/>
      <c r="B57" s="49"/>
      <c r="C57" s="49"/>
      <c r="K57" s="45"/>
      <c r="L57" s="49"/>
      <c r="M57" s="49"/>
      <c r="N57" s="45"/>
      <c r="O57" s="45"/>
      <c r="P57" s="45"/>
      <c r="Q57" s="45"/>
      <c r="R57" s="49"/>
      <c r="S57" s="45"/>
      <c r="T57" s="45"/>
      <c r="U57" s="609"/>
      <c r="V57" s="45"/>
      <c r="W57" s="45"/>
      <c r="X57" s="45"/>
      <c r="Y57" s="45"/>
      <c r="Z57" s="45"/>
      <c r="AA57" s="48"/>
      <c r="AB57" s="47"/>
      <c r="AC57" s="47"/>
      <c r="AD57" s="47"/>
      <c r="AE57" s="47"/>
      <c r="AF57" s="124" t="n">
        <v>11</v>
      </c>
    </row>
    <row r="58" s="124" customFormat="true" ht="11.25" hidden="false" customHeight="true" outlineLevel="0" collapsed="false">
      <c r="A58" s="608"/>
      <c r="B58" s="49"/>
      <c r="C58" s="49"/>
      <c r="K58" s="45"/>
      <c r="L58" s="49"/>
      <c r="M58" s="49"/>
      <c r="N58" s="45"/>
      <c r="O58" s="45"/>
      <c r="P58" s="45"/>
      <c r="Q58" s="45"/>
      <c r="R58" s="49"/>
      <c r="S58" s="45"/>
      <c r="T58" s="45"/>
      <c r="U58" s="609"/>
      <c r="V58" s="45"/>
      <c r="W58" s="45"/>
      <c r="X58" s="45"/>
      <c r="Y58" s="45"/>
      <c r="Z58" s="45"/>
      <c r="AA58" s="48"/>
      <c r="AB58" s="47"/>
      <c r="AC58" s="47"/>
      <c r="AD58" s="47"/>
      <c r="AE58" s="47"/>
      <c r="AF58" s="124" t="n">
        <v>11</v>
      </c>
    </row>
    <row r="59" s="124" customFormat="true" ht="11.25" hidden="false" customHeight="true" outlineLevel="0" collapsed="false">
      <c r="A59" s="608"/>
      <c r="B59" s="49"/>
      <c r="C59" s="49"/>
      <c r="K59" s="45"/>
      <c r="L59" s="49"/>
      <c r="M59" s="49"/>
      <c r="N59" s="45"/>
      <c r="O59" s="45"/>
      <c r="P59" s="45"/>
      <c r="Q59" s="45"/>
      <c r="R59" s="49"/>
      <c r="S59" s="45"/>
      <c r="T59" s="45"/>
      <c r="U59" s="609"/>
      <c r="V59" s="45"/>
      <c r="W59" s="45"/>
      <c r="X59" s="45"/>
      <c r="Y59" s="45"/>
      <c r="Z59" s="45"/>
      <c r="AA59" s="48"/>
      <c r="AB59" s="47"/>
      <c r="AC59" s="47"/>
      <c r="AD59" s="47"/>
      <c r="AE59" s="47"/>
      <c r="AF59" s="124" t="n">
        <v>11</v>
      </c>
    </row>
    <row r="60" s="124" customFormat="true" ht="11.25" hidden="false" customHeight="true" outlineLevel="0" collapsed="false">
      <c r="A60" s="608"/>
      <c r="B60" s="49"/>
      <c r="C60" s="49"/>
      <c r="K60" s="45"/>
      <c r="L60" s="49"/>
      <c r="M60" s="49"/>
      <c r="N60" s="45"/>
      <c r="O60" s="45"/>
      <c r="P60" s="45"/>
      <c r="Q60" s="45"/>
      <c r="R60" s="49"/>
      <c r="S60" s="45"/>
      <c r="T60" s="45"/>
      <c r="U60" s="609"/>
      <c r="V60" s="45"/>
      <c r="W60" s="45"/>
      <c r="X60" s="45"/>
      <c r="Y60" s="45"/>
      <c r="Z60" s="45"/>
      <c r="AA60" s="48"/>
      <c r="AB60" s="47"/>
      <c r="AC60" s="47"/>
      <c r="AD60" s="47"/>
      <c r="AE60" s="47"/>
      <c r="AF60" s="124" t="n">
        <v>11</v>
      </c>
    </row>
    <row r="61" s="124" customFormat="true" ht="11.25" hidden="false" customHeight="true" outlineLevel="0" collapsed="false">
      <c r="A61" s="608"/>
      <c r="B61" s="49"/>
      <c r="C61" s="49"/>
      <c r="K61" s="45"/>
      <c r="L61" s="49"/>
      <c r="M61" s="49"/>
      <c r="N61" s="45"/>
      <c r="O61" s="45"/>
      <c r="P61" s="45"/>
      <c r="Q61" s="45"/>
      <c r="R61" s="49"/>
      <c r="S61" s="45"/>
      <c r="T61" s="45"/>
      <c r="U61" s="609"/>
      <c r="V61" s="45"/>
      <c r="W61" s="45"/>
      <c r="X61" s="45"/>
      <c r="Y61" s="45"/>
      <c r="Z61" s="45"/>
      <c r="AA61" s="48"/>
      <c r="AB61" s="47"/>
      <c r="AC61" s="47"/>
      <c r="AD61" s="47"/>
      <c r="AE61" s="47"/>
      <c r="AF61" s="124" t="n">
        <v>11</v>
      </c>
    </row>
    <row r="62" s="124" customFormat="true" ht="11.25" hidden="false" customHeight="true" outlineLevel="0" collapsed="false">
      <c r="A62" s="608"/>
      <c r="B62" s="49"/>
      <c r="C62" s="49"/>
      <c r="K62" s="45"/>
      <c r="L62" s="49"/>
      <c r="M62" s="49"/>
      <c r="N62" s="45"/>
      <c r="O62" s="45"/>
      <c r="P62" s="45"/>
      <c r="Q62" s="45"/>
      <c r="R62" s="49"/>
      <c r="S62" s="45"/>
      <c r="T62" s="45"/>
      <c r="U62" s="609"/>
      <c r="V62" s="45"/>
      <c r="W62" s="45"/>
      <c r="X62" s="45"/>
      <c r="Y62" s="45"/>
      <c r="Z62" s="45"/>
      <c r="AA62" s="48"/>
      <c r="AB62" s="47"/>
      <c r="AC62" s="47"/>
      <c r="AD62" s="47"/>
      <c r="AE62" s="47"/>
      <c r="AF62" s="124" t="n">
        <v>11</v>
      </c>
    </row>
    <row r="63" s="124" customFormat="true" ht="11.25" hidden="false" customHeight="true" outlineLevel="0" collapsed="false">
      <c r="A63" s="608"/>
      <c r="B63" s="49"/>
      <c r="C63" s="49"/>
      <c r="K63" s="45"/>
      <c r="L63" s="49"/>
      <c r="M63" s="49"/>
      <c r="N63" s="45"/>
      <c r="O63" s="45"/>
      <c r="P63" s="45"/>
      <c r="Q63" s="45"/>
      <c r="R63" s="49"/>
      <c r="S63" s="45"/>
      <c r="T63" s="45"/>
      <c r="U63" s="609"/>
      <c r="V63" s="45"/>
      <c r="W63" s="45"/>
      <c r="X63" s="45"/>
      <c r="Y63" s="45"/>
      <c r="Z63" s="45"/>
      <c r="AA63" s="48"/>
      <c r="AB63" s="47"/>
      <c r="AC63" s="47"/>
      <c r="AD63" s="47"/>
      <c r="AE63" s="47"/>
      <c r="AF63" s="124" t="n">
        <v>11</v>
      </c>
    </row>
    <row r="64" s="124" customFormat="true" ht="11.25" hidden="false" customHeight="true" outlineLevel="0" collapsed="false">
      <c r="A64" s="608"/>
      <c r="B64" s="49"/>
      <c r="C64" s="49"/>
      <c r="K64" s="45"/>
      <c r="L64" s="49"/>
      <c r="M64" s="49"/>
      <c r="N64" s="45"/>
      <c r="O64" s="45"/>
      <c r="P64" s="45"/>
      <c r="Q64" s="45"/>
      <c r="R64" s="49"/>
      <c r="S64" s="45"/>
      <c r="T64" s="45"/>
      <c r="U64" s="609"/>
      <c r="V64" s="45"/>
      <c r="W64" s="45"/>
      <c r="X64" s="45"/>
      <c r="Y64" s="45"/>
      <c r="Z64" s="45"/>
      <c r="AA64" s="48"/>
      <c r="AB64" s="47"/>
      <c r="AC64" s="47"/>
      <c r="AD64" s="47"/>
      <c r="AE64" s="47"/>
      <c r="AF64" s="124" t="n">
        <v>11</v>
      </c>
    </row>
    <row r="65" s="124" customFormat="true" ht="11.25" hidden="false" customHeight="true" outlineLevel="0" collapsed="false">
      <c r="A65" s="608"/>
      <c r="B65" s="49"/>
      <c r="C65" s="49"/>
      <c r="K65" s="45"/>
      <c r="L65" s="49"/>
      <c r="M65" s="49"/>
      <c r="N65" s="45"/>
      <c r="O65" s="45"/>
      <c r="P65" s="45"/>
      <c r="Q65" s="45"/>
      <c r="R65" s="49"/>
      <c r="S65" s="45"/>
      <c r="T65" s="45"/>
      <c r="U65" s="609"/>
      <c r="V65" s="45"/>
      <c r="W65" s="45"/>
      <c r="X65" s="45"/>
      <c r="Y65" s="45"/>
      <c r="Z65" s="45"/>
      <c r="AA65" s="48"/>
      <c r="AB65" s="47"/>
      <c r="AC65" s="47"/>
      <c r="AD65" s="47"/>
      <c r="AE65" s="47"/>
      <c r="AF65" s="124" t="n">
        <v>11</v>
      </c>
    </row>
    <row r="66" s="124" customFormat="true" ht="11.25" hidden="false" customHeight="true" outlineLevel="0" collapsed="false">
      <c r="A66" s="608"/>
      <c r="B66" s="49"/>
      <c r="C66" s="49"/>
      <c r="K66" s="45"/>
      <c r="L66" s="49"/>
      <c r="M66" s="49"/>
      <c r="N66" s="45"/>
      <c r="O66" s="45"/>
      <c r="P66" s="45"/>
      <c r="Q66" s="45"/>
      <c r="R66" s="49"/>
      <c r="S66" s="45"/>
      <c r="T66" s="45"/>
      <c r="U66" s="609"/>
      <c r="V66" s="45"/>
      <c r="W66" s="45"/>
      <c r="X66" s="45"/>
      <c r="Y66" s="45"/>
      <c r="Z66" s="45"/>
      <c r="AA66" s="48"/>
      <c r="AB66" s="47"/>
      <c r="AC66" s="47"/>
      <c r="AD66" s="47"/>
      <c r="AE66" s="47"/>
      <c r="AF66" s="124" t="n">
        <v>11</v>
      </c>
    </row>
    <row r="67" s="124" customFormat="true" ht="11.25" hidden="false" customHeight="true" outlineLevel="0" collapsed="false">
      <c r="A67" s="608"/>
      <c r="B67" s="49"/>
      <c r="C67" s="49"/>
      <c r="K67" s="45"/>
      <c r="L67" s="49"/>
      <c r="M67" s="49"/>
      <c r="N67" s="45"/>
      <c r="O67" s="45"/>
      <c r="P67" s="45"/>
      <c r="Q67" s="45"/>
      <c r="R67" s="49"/>
      <c r="S67" s="45"/>
      <c r="T67" s="45"/>
      <c r="U67" s="609"/>
      <c r="V67" s="45"/>
      <c r="W67" s="45"/>
      <c r="X67" s="45"/>
      <c r="Y67" s="45"/>
      <c r="Z67" s="45"/>
      <c r="AA67" s="48"/>
      <c r="AB67" s="47"/>
      <c r="AC67" s="47"/>
      <c r="AD67" s="47"/>
      <c r="AE67" s="47"/>
      <c r="AF67" s="124" t="n">
        <v>11</v>
      </c>
    </row>
    <row r="68" s="124" customFormat="true" ht="11.25" hidden="false" customHeight="true" outlineLevel="0" collapsed="false">
      <c r="A68" s="608"/>
      <c r="B68" s="49"/>
      <c r="C68" s="49"/>
      <c r="K68" s="45"/>
      <c r="L68" s="49"/>
      <c r="M68" s="49"/>
      <c r="N68" s="45"/>
      <c r="O68" s="45"/>
      <c r="P68" s="45"/>
      <c r="Q68" s="45"/>
      <c r="R68" s="49"/>
      <c r="S68" s="45"/>
      <c r="T68" s="45"/>
      <c r="U68" s="609"/>
      <c r="V68" s="45"/>
      <c r="W68" s="45"/>
      <c r="X68" s="45"/>
      <c r="Y68" s="45"/>
      <c r="Z68" s="45"/>
      <c r="AA68" s="48"/>
      <c r="AB68" s="47"/>
      <c r="AC68" s="47"/>
      <c r="AD68" s="47"/>
      <c r="AE68" s="47"/>
      <c r="AF68" s="124" t="n">
        <v>11</v>
      </c>
    </row>
    <row r="69" s="124" customFormat="true" ht="11.25" hidden="false" customHeight="true" outlineLevel="0" collapsed="false">
      <c r="A69" s="608"/>
      <c r="B69" s="49"/>
      <c r="C69" s="49"/>
      <c r="K69" s="45"/>
      <c r="L69" s="49"/>
      <c r="M69" s="49"/>
      <c r="N69" s="45"/>
      <c r="O69" s="45"/>
      <c r="P69" s="45"/>
      <c r="Q69" s="45"/>
      <c r="R69" s="49"/>
      <c r="S69" s="45"/>
      <c r="T69" s="45"/>
      <c r="U69" s="609"/>
      <c r="V69" s="45"/>
      <c r="W69" s="45"/>
      <c r="X69" s="45"/>
      <c r="Y69" s="45"/>
      <c r="Z69" s="45"/>
      <c r="AA69" s="48"/>
      <c r="AB69" s="47"/>
      <c r="AC69" s="47"/>
      <c r="AD69" s="47"/>
      <c r="AE69" s="47"/>
      <c r="AF69" s="124" t="n">
        <v>11</v>
      </c>
    </row>
    <row r="70" s="124" customFormat="true" ht="11.25" hidden="false" customHeight="true" outlineLevel="0" collapsed="false">
      <c r="A70" s="608"/>
      <c r="B70" s="49"/>
      <c r="C70" s="49"/>
      <c r="K70" s="45"/>
      <c r="L70" s="49"/>
      <c r="M70" s="49"/>
      <c r="N70" s="45"/>
      <c r="O70" s="45"/>
      <c r="P70" s="45"/>
      <c r="Q70" s="45"/>
      <c r="R70" s="49"/>
      <c r="S70" s="45"/>
      <c r="T70" s="45"/>
      <c r="U70" s="609"/>
      <c r="V70" s="45"/>
      <c r="W70" s="45"/>
      <c r="X70" s="45"/>
      <c r="Y70" s="45"/>
      <c r="Z70" s="45"/>
      <c r="AA70" s="48"/>
      <c r="AB70" s="47"/>
      <c r="AC70" s="47"/>
      <c r="AD70" s="47"/>
      <c r="AE70" s="47"/>
      <c r="AF70" s="124" t="n">
        <v>11</v>
      </c>
    </row>
    <row r="71" s="124" customFormat="true" ht="11.25" hidden="false" customHeight="true" outlineLevel="0" collapsed="false">
      <c r="A71" s="608"/>
      <c r="B71" s="49"/>
      <c r="C71" s="49"/>
      <c r="K71" s="45"/>
      <c r="L71" s="49"/>
      <c r="M71" s="49"/>
      <c r="N71" s="45"/>
      <c r="O71" s="45"/>
      <c r="P71" s="45"/>
      <c r="Q71" s="45"/>
      <c r="R71" s="49"/>
      <c r="S71" s="45"/>
      <c r="T71" s="45"/>
      <c r="U71" s="609"/>
      <c r="V71" s="45"/>
      <c r="W71" s="45"/>
      <c r="X71" s="45"/>
      <c r="Y71" s="45"/>
      <c r="Z71" s="45"/>
      <c r="AA71" s="48"/>
      <c r="AB71" s="47"/>
      <c r="AC71" s="47"/>
      <c r="AD71" s="47"/>
      <c r="AE71" s="47"/>
      <c r="AF71" s="124" t="n">
        <v>11</v>
      </c>
    </row>
    <row r="72" s="124" customFormat="true" ht="11.25" hidden="false" customHeight="true" outlineLevel="0" collapsed="false">
      <c r="A72" s="608"/>
      <c r="B72" s="49"/>
      <c r="C72" s="49"/>
      <c r="K72" s="45"/>
      <c r="L72" s="49"/>
      <c r="M72" s="49"/>
      <c r="N72" s="45"/>
      <c r="O72" s="45"/>
      <c r="P72" s="45"/>
      <c r="Q72" s="45"/>
      <c r="R72" s="49"/>
      <c r="S72" s="45"/>
      <c r="T72" s="45"/>
      <c r="U72" s="609"/>
      <c r="V72" s="45"/>
      <c r="W72" s="45"/>
      <c r="X72" s="45"/>
      <c r="Y72" s="45"/>
      <c r="Z72" s="45"/>
      <c r="AA72" s="48"/>
      <c r="AB72" s="47"/>
      <c r="AC72" s="47"/>
      <c r="AD72" s="47"/>
      <c r="AE72" s="47"/>
      <c r="AF72" s="124" t="n">
        <v>11</v>
      </c>
    </row>
    <row r="73" s="124" customFormat="true" ht="11.25" hidden="false" customHeight="true" outlineLevel="0" collapsed="false">
      <c r="A73" s="608"/>
      <c r="B73" s="49"/>
      <c r="C73" s="49"/>
      <c r="K73" s="45"/>
      <c r="L73" s="49"/>
      <c r="M73" s="49"/>
      <c r="N73" s="45"/>
      <c r="O73" s="45"/>
      <c r="P73" s="45"/>
      <c r="Q73" s="45"/>
      <c r="R73" s="49"/>
      <c r="S73" s="45"/>
      <c r="T73" s="45"/>
      <c r="U73" s="609"/>
      <c r="V73" s="45"/>
      <c r="W73" s="45"/>
      <c r="X73" s="45"/>
      <c r="Y73" s="45"/>
      <c r="Z73" s="45"/>
      <c r="AA73" s="48"/>
      <c r="AB73" s="47"/>
      <c r="AC73" s="47"/>
      <c r="AD73" s="47"/>
      <c r="AE73" s="47"/>
      <c r="AF73" s="124" t="n">
        <v>11</v>
      </c>
    </row>
    <row r="74" s="124" customFormat="true" ht="11.25" hidden="false" customHeight="true" outlineLevel="0" collapsed="false">
      <c r="A74" s="608"/>
      <c r="B74" s="49"/>
      <c r="C74" s="49"/>
      <c r="K74" s="45"/>
      <c r="L74" s="49"/>
      <c r="M74" s="49"/>
      <c r="N74" s="45"/>
      <c r="O74" s="45"/>
      <c r="P74" s="45"/>
      <c r="Q74" s="45"/>
      <c r="R74" s="49"/>
      <c r="S74" s="45"/>
      <c r="T74" s="45"/>
      <c r="U74" s="609"/>
      <c r="V74" s="45"/>
      <c r="W74" s="45"/>
      <c r="X74" s="45"/>
      <c r="Y74" s="45"/>
      <c r="Z74" s="45"/>
      <c r="AA74" s="48"/>
      <c r="AB74" s="47"/>
      <c r="AC74" s="47"/>
      <c r="AD74" s="47"/>
      <c r="AE74" s="47"/>
      <c r="AF74" s="124" t="n">
        <v>11</v>
      </c>
    </row>
    <row r="75" s="124" customFormat="true" ht="11.25" hidden="false" customHeight="true" outlineLevel="0" collapsed="false">
      <c r="A75" s="608"/>
      <c r="B75" s="49"/>
      <c r="C75" s="49"/>
      <c r="K75" s="45"/>
      <c r="L75" s="49"/>
      <c r="M75" s="49"/>
      <c r="N75" s="45"/>
      <c r="O75" s="45"/>
      <c r="P75" s="45"/>
      <c r="Q75" s="45"/>
      <c r="R75" s="49"/>
      <c r="S75" s="45"/>
      <c r="T75" s="45"/>
      <c r="U75" s="609"/>
      <c r="V75" s="45"/>
      <c r="W75" s="45"/>
      <c r="X75" s="45"/>
      <c r="Y75" s="45"/>
      <c r="Z75" s="45"/>
      <c r="AA75" s="48"/>
      <c r="AB75" s="47"/>
      <c r="AC75" s="47"/>
      <c r="AD75" s="47"/>
      <c r="AE75" s="47"/>
      <c r="AF75" s="124" t="n">
        <v>11</v>
      </c>
    </row>
    <row r="76" s="124" customFormat="true" ht="11.25" hidden="false" customHeight="true" outlineLevel="0" collapsed="false">
      <c r="A76" s="608"/>
      <c r="B76" s="49"/>
      <c r="C76" s="49"/>
      <c r="K76" s="45"/>
      <c r="L76" s="49"/>
      <c r="M76" s="49"/>
      <c r="N76" s="45"/>
      <c r="O76" s="45"/>
      <c r="P76" s="45"/>
      <c r="Q76" s="45"/>
      <c r="R76" s="49"/>
      <c r="S76" s="45"/>
      <c r="T76" s="45"/>
      <c r="U76" s="609"/>
      <c r="V76" s="45"/>
      <c r="W76" s="45"/>
      <c r="X76" s="45"/>
      <c r="Y76" s="45"/>
      <c r="Z76" s="45"/>
      <c r="AA76" s="48"/>
      <c r="AB76" s="47"/>
      <c r="AC76" s="47"/>
      <c r="AD76" s="47"/>
      <c r="AE76" s="47"/>
      <c r="AF76" s="124" t="n">
        <v>11</v>
      </c>
    </row>
    <row r="77" s="124" customFormat="true" ht="11.25" hidden="false" customHeight="true" outlineLevel="0" collapsed="false">
      <c r="A77" s="608"/>
      <c r="B77" s="49"/>
      <c r="C77" s="49"/>
      <c r="K77" s="45"/>
      <c r="L77" s="49"/>
      <c r="M77" s="49"/>
      <c r="N77" s="45"/>
      <c r="O77" s="45"/>
      <c r="P77" s="45"/>
      <c r="Q77" s="45"/>
      <c r="R77" s="49"/>
      <c r="S77" s="45"/>
      <c r="T77" s="45"/>
      <c r="U77" s="609"/>
      <c r="V77" s="45"/>
      <c r="W77" s="45"/>
      <c r="X77" s="45"/>
      <c r="Y77" s="45"/>
      <c r="Z77" s="45"/>
      <c r="AA77" s="48"/>
      <c r="AB77" s="47"/>
      <c r="AC77" s="47"/>
      <c r="AD77" s="47"/>
      <c r="AE77" s="47"/>
      <c r="AF77" s="124" t="n">
        <v>11</v>
      </c>
    </row>
    <row r="78" s="124" customFormat="true" ht="11.25" hidden="false" customHeight="true" outlineLevel="0" collapsed="false">
      <c r="A78" s="608"/>
      <c r="B78" s="49"/>
      <c r="C78" s="49"/>
      <c r="K78" s="45"/>
      <c r="L78" s="49"/>
      <c r="M78" s="49"/>
      <c r="N78" s="45"/>
      <c r="O78" s="45"/>
      <c r="P78" s="45"/>
      <c r="Q78" s="45"/>
      <c r="R78" s="49"/>
      <c r="S78" s="45"/>
      <c r="T78" s="45"/>
      <c r="U78" s="609"/>
      <c r="V78" s="45"/>
      <c r="W78" s="45"/>
      <c r="X78" s="45"/>
      <c r="Y78" s="45"/>
      <c r="Z78" s="45"/>
      <c r="AA78" s="48"/>
      <c r="AB78" s="47"/>
      <c r="AC78" s="47"/>
      <c r="AD78" s="47"/>
      <c r="AE78" s="47"/>
      <c r="AF78" s="124" t="n">
        <v>11</v>
      </c>
    </row>
    <row r="79" s="124" customFormat="true" ht="11.25" hidden="false" customHeight="true" outlineLevel="0" collapsed="false">
      <c r="A79" s="608"/>
      <c r="B79" s="49"/>
      <c r="C79" s="49"/>
      <c r="K79" s="45"/>
      <c r="L79" s="49"/>
      <c r="M79" s="49"/>
      <c r="N79" s="45"/>
      <c r="O79" s="45"/>
      <c r="P79" s="45"/>
      <c r="Q79" s="45"/>
      <c r="R79" s="49"/>
      <c r="S79" s="45"/>
      <c r="T79" s="45"/>
      <c r="U79" s="609"/>
      <c r="V79" s="45"/>
      <c r="W79" s="45"/>
      <c r="X79" s="45"/>
      <c r="Y79" s="45"/>
      <c r="Z79" s="45"/>
      <c r="AA79" s="48"/>
      <c r="AB79" s="47"/>
      <c r="AC79" s="47"/>
      <c r="AD79" s="47"/>
      <c r="AE79" s="47"/>
      <c r="AF79" s="124" t="n">
        <v>11</v>
      </c>
    </row>
    <row r="80" s="124" customFormat="true" ht="11.25" hidden="false" customHeight="true" outlineLevel="0" collapsed="false">
      <c r="A80" s="608"/>
      <c r="B80" s="49"/>
      <c r="C80" s="49"/>
      <c r="K80" s="45"/>
      <c r="L80" s="49"/>
      <c r="M80" s="49"/>
      <c r="N80" s="45"/>
      <c r="O80" s="45"/>
      <c r="P80" s="45"/>
      <c r="Q80" s="45"/>
      <c r="R80" s="49"/>
      <c r="S80" s="45"/>
      <c r="T80" s="45"/>
      <c r="U80" s="609"/>
      <c r="V80" s="45"/>
      <c r="W80" s="45"/>
      <c r="X80" s="45"/>
      <c r="Y80" s="45"/>
      <c r="Z80" s="45"/>
      <c r="AA80" s="48"/>
      <c r="AB80" s="47"/>
      <c r="AC80" s="47"/>
      <c r="AD80" s="47"/>
      <c r="AE80" s="47"/>
      <c r="AF80" s="124" t="n">
        <v>11</v>
      </c>
    </row>
    <row r="81" s="124" customFormat="true" ht="11.25" hidden="false" customHeight="true" outlineLevel="0" collapsed="false">
      <c r="A81" s="608"/>
      <c r="B81" s="49"/>
      <c r="C81" s="49"/>
      <c r="K81" s="45"/>
      <c r="L81" s="49"/>
      <c r="M81" s="49"/>
      <c r="N81" s="45"/>
      <c r="O81" s="45"/>
      <c r="P81" s="45"/>
      <c r="Q81" s="45"/>
      <c r="R81" s="49"/>
      <c r="S81" s="45"/>
      <c r="T81" s="45"/>
      <c r="U81" s="609"/>
      <c r="V81" s="45"/>
      <c r="W81" s="45"/>
      <c r="X81" s="45"/>
      <c r="Y81" s="45"/>
      <c r="Z81" s="45"/>
      <c r="AA81" s="48"/>
      <c r="AB81" s="47"/>
      <c r="AC81" s="47"/>
      <c r="AD81" s="47"/>
      <c r="AE81" s="47"/>
      <c r="AF81" s="124" t="n">
        <v>11</v>
      </c>
    </row>
    <row r="82" s="124" customFormat="true" ht="11.25" hidden="false" customHeight="true" outlineLevel="0" collapsed="false">
      <c r="A82" s="608"/>
      <c r="B82" s="49"/>
      <c r="C82" s="49"/>
      <c r="K82" s="45"/>
      <c r="L82" s="49"/>
      <c r="M82" s="49"/>
      <c r="N82" s="45"/>
      <c r="O82" s="45"/>
      <c r="P82" s="45"/>
      <c r="Q82" s="45"/>
      <c r="R82" s="49"/>
      <c r="S82" s="45"/>
      <c r="T82" s="45"/>
      <c r="U82" s="609"/>
      <c r="V82" s="45"/>
      <c r="W82" s="45"/>
      <c r="X82" s="45"/>
      <c r="Y82" s="45"/>
      <c r="Z82" s="45"/>
      <c r="AA82" s="48"/>
      <c r="AB82" s="47"/>
      <c r="AC82" s="47"/>
      <c r="AD82" s="47"/>
      <c r="AE82" s="47"/>
      <c r="AF82" s="124" t="n">
        <v>11</v>
      </c>
    </row>
    <row r="83" s="124" customFormat="true" ht="11.25" hidden="false" customHeight="true" outlineLevel="0" collapsed="false">
      <c r="A83" s="608"/>
      <c r="B83" s="49"/>
      <c r="C83" s="49"/>
      <c r="K83" s="45"/>
      <c r="L83" s="49"/>
      <c r="M83" s="49"/>
      <c r="N83" s="45"/>
      <c r="O83" s="45"/>
      <c r="P83" s="45"/>
      <c r="Q83" s="45"/>
      <c r="R83" s="49"/>
      <c r="S83" s="45"/>
      <c r="T83" s="45"/>
      <c r="U83" s="609"/>
      <c r="V83" s="45"/>
      <c r="W83" s="45"/>
      <c r="X83" s="45"/>
      <c r="Y83" s="45"/>
      <c r="Z83" s="45"/>
      <c r="AA83" s="48"/>
      <c r="AB83" s="47"/>
      <c r="AC83" s="47"/>
      <c r="AD83" s="47"/>
      <c r="AE83" s="47"/>
      <c r="AF83" s="124" t="n">
        <v>11</v>
      </c>
    </row>
    <row r="84" s="124" customFormat="true" ht="11.25" hidden="false" customHeight="true" outlineLevel="0" collapsed="false">
      <c r="A84" s="608"/>
      <c r="B84" s="49"/>
      <c r="C84" s="49"/>
      <c r="K84" s="45"/>
      <c r="L84" s="49"/>
      <c r="M84" s="49"/>
      <c r="N84" s="45"/>
      <c r="O84" s="45"/>
      <c r="P84" s="45"/>
      <c r="Q84" s="45"/>
      <c r="R84" s="49"/>
      <c r="S84" s="45"/>
      <c r="T84" s="45"/>
      <c r="U84" s="609"/>
      <c r="V84" s="45"/>
      <c r="W84" s="45"/>
      <c r="X84" s="45"/>
      <c r="Y84" s="45"/>
      <c r="Z84" s="45"/>
      <c r="AA84" s="48"/>
      <c r="AB84" s="47"/>
      <c r="AC84" s="47"/>
      <c r="AD84" s="47"/>
      <c r="AE84" s="47"/>
      <c r="AF84" s="124" t="n">
        <v>11</v>
      </c>
    </row>
    <row r="85" s="124" customFormat="true" ht="11.25" hidden="false" customHeight="true" outlineLevel="0" collapsed="false">
      <c r="A85" s="608"/>
      <c r="B85" s="49"/>
      <c r="C85" s="49"/>
      <c r="K85" s="45"/>
      <c r="L85" s="49"/>
      <c r="M85" s="49"/>
      <c r="N85" s="45"/>
      <c r="O85" s="45"/>
      <c r="P85" s="45"/>
      <c r="Q85" s="45"/>
      <c r="R85" s="49"/>
      <c r="S85" s="45"/>
      <c r="T85" s="45"/>
      <c r="U85" s="609"/>
      <c r="V85" s="45"/>
      <c r="W85" s="45"/>
      <c r="X85" s="45"/>
      <c r="Y85" s="45"/>
      <c r="Z85" s="45"/>
      <c r="AA85" s="48"/>
      <c r="AB85" s="47"/>
      <c r="AC85" s="47"/>
      <c r="AD85" s="47"/>
      <c r="AE85" s="47"/>
      <c r="AF85" s="124" t="n">
        <v>11</v>
      </c>
    </row>
    <row r="86" s="124" customFormat="true" ht="11.25" hidden="false" customHeight="true" outlineLevel="0" collapsed="false">
      <c r="A86" s="608"/>
      <c r="B86" s="49"/>
      <c r="C86" s="49"/>
      <c r="K86" s="45"/>
      <c r="L86" s="49"/>
      <c r="M86" s="49"/>
      <c r="N86" s="45"/>
      <c r="O86" s="45"/>
      <c r="P86" s="45"/>
      <c r="Q86" s="45"/>
      <c r="R86" s="49"/>
      <c r="S86" s="45"/>
      <c r="T86" s="45"/>
      <c r="U86" s="609"/>
      <c r="V86" s="45"/>
      <c r="W86" s="45"/>
      <c r="X86" s="45"/>
      <c r="Y86" s="45"/>
      <c r="Z86" s="45"/>
      <c r="AA86" s="48"/>
      <c r="AB86" s="47"/>
      <c r="AC86" s="47"/>
      <c r="AD86" s="47"/>
      <c r="AE86" s="47"/>
      <c r="AF86" s="124" t="n">
        <v>11</v>
      </c>
    </row>
    <row r="87" s="124" customFormat="true" ht="11.25" hidden="false" customHeight="true" outlineLevel="0" collapsed="false">
      <c r="A87" s="608"/>
      <c r="B87" s="49"/>
      <c r="C87" s="49"/>
      <c r="K87" s="45"/>
      <c r="L87" s="49"/>
      <c r="M87" s="49"/>
      <c r="N87" s="45"/>
      <c r="O87" s="45"/>
      <c r="P87" s="45"/>
      <c r="Q87" s="45"/>
      <c r="R87" s="49"/>
      <c r="S87" s="45"/>
      <c r="T87" s="45"/>
      <c r="U87" s="609"/>
      <c r="V87" s="45"/>
      <c r="W87" s="45"/>
      <c r="X87" s="45"/>
      <c r="Y87" s="45"/>
      <c r="Z87" s="45"/>
      <c r="AA87" s="48"/>
      <c r="AB87" s="47"/>
      <c r="AC87" s="47"/>
      <c r="AD87" s="47"/>
      <c r="AE87" s="47"/>
      <c r="AF87" s="124" t="n">
        <v>11</v>
      </c>
    </row>
    <row r="88" s="124" customFormat="true" ht="11.25" hidden="false" customHeight="true" outlineLevel="0" collapsed="false">
      <c r="A88" s="608"/>
      <c r="B88" s="49"/>
      <c r="C88" s="49"/>
      <c r="K88" s="45"/>
      <c r="L88" s="49"/>
      <c r="M88" s="49"/>
      <c r="N88" s="45"/>
      <c r="O88" s="45"/>
      <c r="P88" s="45"/>
      <c r="Q88" s="45"/>
      <c r="R88" s="49"/>
      <c r="S88" s="45"/>
      <c r="T88" s="45"/>
      <c r="U88" s="609"/>
      <c r="V88" s="45"/>
      <c r="W88" s="45"/>
      <c r="X88" s="45"/>
      <c r="Y88" s="45"/>
      <c r="Z88" s="45"/>
      <c r="AA88" s="48"/>
      <c r="AB88" s="47"/>
      <c r="AC88" s="47"/>
      <c r="AD88" s="47"/>
      <c r="AE88" s="47"/>
      <c r="AF88" s="124" t="n">
        <v>11</v>
      </c>
    </row>
    <row r="89" s="124" customFormat="true" ht="11.25" hidden="false" customHeight="true" outlineLevel="0" collapsed="false">
      <c r="A89" s="608"/>
      <c r="B89" s="49"/>
      <c r="C89" s="49"/>
      <c r="K89" s="45"/>
      <c r="L89" s="49"/>
      <c r="M89" s="49"/>
      <c r="N89" s="45"/>
      <c r="O89" s="45"/>
      <c r="P89" s="45"/>
      <c r="Q89" s="45"/>
      <c r="R89" s="49"/>
      <c r="S89" s="45"/>
      <c r="T89" s="45"/>
      <c r="U89" s="609"/>
      <c r="V89" s="45"/>
      <c r="W89" s="45"/>
      <c r="X89" s="45"/>
      <c r="Y89" s="45"/>
      <c r="Z89" s="45"/>
      <c r="AA89" s="48"/>
      <c r="AB89" s="47"/>
      <c r="AC89" s="47"/>
      <c r="AD89" s="47"/>
      <c r="AE89" s="47"/>
      <c r="AF89" s="124" t="n">
        <v>11</v>
      </c>
    </row>
    <row r="90" s="124" customFormat="true" ht="11.25" hidden="false" customHeight="true" outlineLevel="0" collapsed="false">
      <c r="A90" s="608"/>
      <c r="B90" s="49"/>
      <c r="C90" s="49"/>
      <c r="K90" s="45"/>
      <c r="L90" s="49"/>
      <c r="M90" s="49"/>
      <c r="N90" s="45"/>
      <c r="O90" s="45"/>
      <c r="P90" s="45"/>
      <c r="Q90" s="45"/>
      <c r="R90" s="49"/>
      <c r="S90" s="45"/>
      <c r="T90" s="45"/>
      <c r="U90" s="609"/>
      <c r="V90" s="45"/>
      <c r="W90" s="45"/>
      <c r="X90" s="45"/>
      <c r="Y90" s="45"/>
      <c r="Z90" s="45"/>
      <c r="AA90" s="48"/>
      <c r="AB90" s="47"/>
      <c r="AC90" s="47"/>
      <c r="AD90" s="47"/>
      <c r="AE90" s="47"/>
      <c r="AF90" s="124" t="n">
        <v>11</v>
      </c>
    </row>
    <row r="91" s="124" customFormat="true" ht="11.25" hidden="false" customHeight="true" outlineLevel="0" collapsed="false">
      <c r="A91" s="608"/>
      <c r="B91" s="49"/>
      <c r="C91" s="49"/>
      <c r="K91" s="45"/>
      <c r="L91" s="49"/>
      <c r="M91" s="49"/>
      <c r="N91" s="45"/>
      <c r="O91" s="45"/>
      <c r="P91" s="45"/>
      <c r="Q91" s="45"/>
      <c r="R91" s="49"/>
      <c r="S91" s="45"/>
      <c r="T91" s="45"/>
      <c r="U91" s="609"/>
      <c r="V91" s="45"/>
      <c r="W91" s="45"/>
      <c r="X91" s="45"/>
      <c r="Y91" s="45"/>
      <c r="Z91" s="45"/>
      <c r="AA91" s="48"/>
      <c r="AB91" s="47"/>
      <c r="AC91" s="47"/>
      <c r="AD91" s="47"/>
      <c r="AE91" s="47"/>
      <c r="AF91" s="124" t="n">
        <v>11</v>
      </c>
    </row>
    <row r="92" s="124" customFormat="true" ht="11.25" hidden="false" customHeight="true" outlineLevel="0" collapsed="false">
      <c r="A92" s="608"/>
      <c r="B92" s="49"/>
      <c r="C92" s="49"/>
      <c r="K92" s="45"/>
      <c r="L92" s="49"/>
      <c r="M92" s="49"/>
      <c r="N92" s="45"/>
      <c r="O92" s="45"/>
      <c r="P92" s="45"/>
      <c r="Q92" s="45"/>
      <c r="R92" s="49"/>
      <c r="S92" s="45"/>
      <c r="T92" s="45"/>
      <c r="U92" s="609"/>
      <c r="V92" s="45"/>
      <c r="W92" s="45"/>
      <c r="X92" s="45"/>
      <c r="Y92" s="45"/>
      <c r="Z92" s="45"/>
      <c r="AA92" s="48"/>
      <c r="AB92" s="47"/>
      <c r="AC92" s="47"/>
      <c r="AD92" s="47"/>
      <c r="AE92" s="47"/>
      <c r="AF92" s="124" t="n">
        <v>11</v>
      </c>
    </row>
    <row r="93" s="124" customFormat="true" ht="11.25" hidden="false" customHeight="true" outlineLevel="0" collapsed="false">
      <c r="A93" s="608"/>
      <c r="B93" s="49"/>
      <c r="C93" s="49"/>
      <c r="K93" s="45"/>
      <c r="L93" s="49"/>
      <c r="M93" s="49"/>
      <c r="N93" s="45"/>
      <c r="O93" s="45"/>
      <c r="P93" s="45"/>
      <c r="Q93" s="45"/>
      <c r="R93" s="49"/>
      <c r="S93" s="45"/>
      <c r="T93" s="45"/>
      <c r="U93" s="609"/>
      <c r="V93" s="45"/>
      <c r="W93" s="45"/>
      <c r="X93" s="45"/>
      <c r="Y93" s="45"/>
      <c r="Z93" s="45"/>
      <c r="AA93" s="48"/>
      <c r="AB93" s="47"/>
      <c r="AC93" s="47"/>
      <c r="AD93" s="47"/>
      <c r="AE93" s="47"/>
      <c r="AF93" s="124" t="n">
        <v>11</v>
      </c>
    </row>
    <row r="94" s="124" customFormat="true" ht="11.25" hidden="false" customHeight="true" outlineLevel="0" collapsed="false">
      <c r="A94" s="608"/>
      <c r="B94" s="49"/>
      <c r="C94" s="49"/>
      <c r="K94" s="45"/>
      <c r="L94" s="49"/>
      <c r="M94" s="49"/>
      <c r="N94" s="45"/>
      <c r="O94" s="45"/>
      <c r="P94" s="45"/>
      <c r="Q94" s="45"/>
      <c r="R94" s="49"/>
      <c r="S94" s="45"/>
      <c r="T94" s="45"/>
      <c r="U94" s="609"/>
      <c r="V94" s="45"/>
      <c r="W94" s="45"/>
      <c r="X94" s="45"/>
      <c r="Y94" s="45"/>
      <c r="Z94" s="45"/>
      <c r="AA94" s="48"/>
      <c r="AB94" s="47"/>
      <c r="AC94" s="47"/>
      <c r="AD94" s="47"/>
      <c r="AE94" s="47"/>
      <c r="AF94" s="124" t="n">
        <v>11</v>
      </c>
    </row>
    <row r="95" s="124" customFormat="true" ht="11.25" hidden="false" customHeight="true" outlineLevel="0" collapsed="false">
      <c r="A95" s="608"/>
      <c r="B95" s="49"/>
      <c r="C95" s="49"/>
      <c r="K95" s="45"/>
      <c r="L95" s="49"/>
      <c r="M95" s="49"/>
      <c r="N95" s="45"/>
      <c r="O95" s="45"/>
      <c r="P95" s="45"/>
      <c r="Q95" s="45"/>
      <c r="R95" s="49"/>
      <c r="S95" s="45"/>
      <c r="T95" s="45"/>
      <c r="U95" s="609"/>
      <c r="V95" s="45"/>
      <c r="W95" s="45"/>
      <c r="X95" s="45"/>
      <c r="Y95" s="45"/>
      <c r="Z95" s="45"/>
      <c r="AA95" s="48"/>
      <c r="AB95" s="47"/>
      <c r="AC95" s="47"/>
      <c r="AD95" s="47"/>
      <c r="AE95" s="47"/>
      <c r="AF95" s="124" t="n">
        <v>11</v>
      </c>
    </row>
    <row r="96" s="124" customFormat="true" ht="11.25" hidden="false" customHeight="true" outlineLevel="0" collapsed="false">
      <c r="A96" s="608"/>
      <c r="B96" s="49"/>
      <c r="C96" s="49"/>
      <c r="K96" s="45"/>
      <c r="L96" s="49"/>
      <c r="M96" s="49"/>
      <c r="N96" s="45"/>
      <c r="O96" s="45"/>
      <c r="P96" s="45"/>
      <c r="Q96" s="45"/>
      <c r="R96" s="49"/>
      <c r="S96" s="45"/>
      <c r="T96" s="45"/>
      <c r="U96" s="609"/>
      <c r="V96" s="45"/>
      <c r="W96" s="45"/>
      <c r="X96" s="45"/>
      <c r="Y96" s="45"/>
      <c r="Z96" s="45"/>
      <c r="AA96" s="48"/>
      <c r="AB96" s="47"/>
      <c r="AC96" s="47"/>
      <c r="AD96" s="47"/>
      <c r="AE96" s="47"/>
      <c r="AF96" s="124" t="n">
        <v>11</v>
      </c>
    </row>
    <row r="97" s="124" customFormat="true" ht="11.25" hidden="false" customHeight="true" outlineLevel="0" collapsed="false">
      <c r="A97" s="608"/>
      <c r="B97" s="49"/>
      <c r="C97" s="49"/>
      <c r="K97" s="45"/>
      <c r="L97" s="49"/>
      <c r="M97" s="49"/>
      <c r="N97" s="45"/>
      <c r="O97" s="45"/>
      <c r="P97" s="45"/>
      <c r="Q97" s="45"/>
      <c r="R97" s="49"/>
      <c r="S97" s="45"/>
      <c r="T97" s="45"/>
      <c r="U97" s="609"/>
      <c r="V97" s="45"/>
      <c r="W97" s="45"/>
      <c r="X97" s="45"/>
      <c r="Y97" s="45"/>
      <c r="Z97" s="45"/>
      <c r="AA97" s="48"/>
      <c r="AB97" s="47"/>
      <c r="AC97" s="47"/>
      <c r="AD97" s="47"/>
      <c r="AE97" s="47"/>
      <c r="AF97" s="124" t="n">
        <v>11</v>
      </c>
    </row>
    <row r="98" s="124" customFormat="true" ht="11.25" hidden="false" customHeight="true" outlineLevel="0" collapsed="false">
      <c r="A98" s="608"/>
      <c r="B98" s="49"/>
      <c r="C98" s="49"/>
      <c r="K98" s="45"/>
      <c r="L98" s="49"/>
      <c r="M98" s="49"/>
      <c r="N98" s="45"/>
      <c r="O98" s="45"/>
      <c r="P98" s="45"/>
      <c r="Q98" s="45"/>
      <c r="R98" s="49"/>
      <c r="S98" s="45"/>
      <c r="T98" s="45"/>
      <c r="U98" s="609"/>
      <c r="V98" s="45"/>
      <c r="W98" s="45"/>
      <c r="X98" s="45"/>
      <c r="Y98" s="45"/>
      <c r="Z98" s="45"/>
      <c r="AA98" s="48"/>
      <c r="AB98" s="47"/>
      <c r="AC98" s="47"/>
      <c r="AD98" s="47"/>
      <c r="AE98" s="47"/>
      <c r="AF98" s="124" t="n">
        <v>11</v>
      </c>
    </row>
    <row r="99" s="124" customFormat="true" ht="11.25" hidden="false" customHeight="true" outlineLevel="0" collapsed="false">
      <c r="A99" s="608"/>
      <c r="B99" s="49"/>
      <c r="C99" s="49"/>
      <c r="K99" s="45"/>
      <c r="L99" s="49"/>
      <c r="M99" s="49"/>
      <c r="N99" s="45"/>
      <c r="O99" s="45"/>
      <c r="P99" s="45"/>
      <c r="Q99" s="45"/>
      <c r="R99" s="49"/>
      <c r="S99" s="45"/>
      <c r="T99" s="45"/>
      <c r="U99" s="609"/>
      <c r="V99" s="45"/>
      <c r="W99" s="45"/>
      <c r="X99" s="45"/>
      <c r="Y99" s="45"/>
      <c r="Z99" s="45"/>
      <c r="AA99" s="48"/>
      <c r="AB99" s="47"/>
      <c r="AC99" s="47"/>
      <c r="AD99" s="47"/>
      <c r="AE99" s="47"/>
      <c r="AF99" s="124" t="n">
        <v>11</v>
      </c>
    </row>
    <row r="100" s="124" customFormat="true" ht="11.25" hidden="false" customHeight="true" outlineLevel="0" collapsed="false">
      <c r="A100" s="608"/>
      <c r="B100" s="49"/>
      <c r="C100" s="49"/>
      <c r="K100" s="45"/>
      <c r="L100" s="49"/>
      <c r="M100" s="49"/>
      <c r="N100" s="45"/>
      <c r="O100" s="45"/>
      <c r="P100" s="45"/>
      <c r="Q100" s="45"/>
      <c r="R100" s="49"/>
      <c r="S100" s="45"/>
      <c r="T100" s="45"/>
      <c r="U100" s="609"/>
      <c r="V100" s="45"/>
      <c r="W100" s="45"/>
      <c r="X100" s="45"/>
      <c r="Y100" s="45"/>
      <c r="Z100" s="45"/>
      <c r="AA100" s="48"/>
      <c r="AB100" s="47"/>
      <c r="AC100" s="47"/>
      <c r="AD100" s="47"/>
      <c r="AE100" s="47"/>
      <c r="AF100" s="124" t="n">
        <v>11</v>
      </c>
    </row>
    <row r="101" s="124" customFormat="true" ht="11.25" hidden="false" customHeight="true" outlineLevel="0" collapsed="false">
      <c r="A101" s="608"/>
      <c r="B101" s="49"/>
      <c r="C101" s="49"/>
      <c r="K101" s="45"/>
      <c r="L101" s="49"/>
      <c r="M101" s="49"/>
      <c r="N101" s="45"/>
      <c r="O101" s="45"/>
      <c r="P101" s="45"/>
      <c r="Q101" s="45"/>
      <c r="R101" s="49"/>
      <c r="S101" s="45"/>
      <c r="T101" s="45"/>
      <c r="U101" s="609"/>
      <c r="V101" s="45"/>
      <c r="W101" s="45"/>
      <c r="X101" s="45"/>
      <c r="Y101" s="45"/>
      <c r="Z101" s="45"/>
      <c r="AA101" s="48"/>
      <c r="AB101" s="47"/>
      <c r="AC101" s="47"/>
      <c r="AD101" s="47"/>
      <c r="AE101" s="47"/>
      <c r="AF101" s="124" t="n">
        <v>11</v>
      </c>
    </row>
    <row r="102" s="124" customFormat="true" ht="11.25" hidden="false" customHeight="true" outlineLevel="0" collapsed="false">
      <c r="A102" s="608"/>
      <c r="B102" s="49"/>
      <c r="C102" s="49"/>
      <c r="K102" s="45"/>
      <c r="L102" s="49"/>
      <c r="M102" s="49"/>
      <c r="N102" s="45"/>
      <c r="O102" s="45"/>
      <c r="P102" s="45"/>
      <c r="Q102" s="45"/>
      <c r="R102" s="49"/>
      <c r="S102" s="45"/>
      <c r="T102" s="45"/>
      <c r="U102" s="609"/>
      <c r="V102" s="45"/>
      <c r="W102" s="45"/>
      <c r="X102" s="45"/>
      <c r="Y102" s="45"/>
      <c r="Z102" s="45"/>
      <c r="AA102" s="48"/>
      <c r="AB102" s="47"/>
      <c r="AC102" s="47"/>
      <c r="AD102" s="47"/>
      <c r="AE102" s="47"/>
      <c r="AF102" s="124" t="n">
        <v>11</v>
      </c>
    </row>
    <row r="103" s="124" customFormat="true" ht="11.25" hidden="false" customHeight="true" outlineLevel="0" collapsed="false">
      <c r="A103" s="608"/>
      <c r="B103" s="49"/>
      <c r="C103" s="49"/>
      <c r="K103" s="45"/>
      <c r="L103" s="49"/>
      <c r="M103" s="49"/>
      <c r="N103" s="45"/>
      <c r="O103" s="45"/>
      <c r="P103" s="45"/>
      <c r="Q103" s="45"/>
      <c r="R103" s="49"/>
      <c r="S103" s="45"/>
      <c r="T103" s="45"/>
      <c r="U103" s="609"/>
      <c r="V103" s="45"/>
      <c r="W103" s="45"/>
      <c r="X103" s="45"/>
      <c r="Y103" s="45"/>
      <c r="Z103" s="45"/>
      <c r="AA103" s="48"/>
      <c r="AB103" s="47"/>
      <c r="AC103" s="47"/>
      <c r="AD103" s="47"/>
      <c r="AE103" s="47"/>
      <c r="AF103" s="124" t="n">
        <v>11</v>
      </c>
    </row>
    <row r="104" s="124" customFormat="true" ht="11.25" hidden="false" customHeight="true" outlineLevel="0" collapsed="false">
      <c r="A104" s="608"/>
      <c r="B104" s="49"/>
      <c r="C104" s="49"/>
      <c r="K104" s="45"/>
      <c r="L104" s="49"/>
      <c r="M104" s="49"/>
      <c r="N104" s="45"/>
      <c r="O104" s="45"/>
      <c r="P104" s="45"/>
      <c r="Q104" s="45"/>
      <c r="R104" s="49"/>
      <c r="S104" s="45"/>
      <c r="T104" s="45"/>
      <c r="U104" s="609"/>
      <c r="V104" s="45"/>
      <c r="W104" s="45"/>
      <c r="X104" s="45"/>
      <c r="Y104" s="45"/>
      <c r="Z104" s="45"/>
      <c r="AA104" s="48"/>
      <c r="AB104" s="47"/>
      <c r="AC104" s="47"/>
      <c r="AD104" s="47"/>
      <c r="AE104" s="47"/>
      <c r="AF104" s="124" t="n">
        <v>11</v>
      </c>
    </row>
    <row r="105" s="124" customFormat="true" ht="11.25" hidden="false" customHeight="true" outlineLevel="0" collapsed="false">
      <c r="A105" s="608"/>
      <c r="B105" s="49"/>
      <c r="C105" s="49"/>
      <c r="K105" s="45"/>
      <c r="L105" s="49"/>
      <c r="M105" s="49"/>
      <c r="N105" s="45"/>
      <c r="O105" s="45"/>
      <c r="P105" s="45"/>
      <c r="Q105" s="45"/>
      <c r="R105" s="49"/>
      <c r="S105" s="45"/>
      <c r="T105" s="45"/>
      <c r="U105" s="609"/>
      <c r="V105" s="45"/>
      <c r="W105" s="45"/>
      <c r="X105" s="45"/>
      <c r="Y105" s="45"/>
      <c r="Z105" s="45"/>
      <c r="AA105" s="48"/>
      <c r="AB105" s="47"/>
      <c r="AC105" s="47"/>
      <c r="AD105" s="47"/>
      <c r="AE105" s="47"/>
      <c r="AF105" s="124" t="n">
        <v>11</v>
      </c>
    </row>
    <row r="106" s="124" customFormat="true" ht="11.25" hidden="false" customHeight="true" outlineLevel="0" collapsed="false">
      <c r="A106" s="608"/>
      <c r="B106" s="49"/>
      <c r="C106" s="49"/>
      <c r="K106" s="45"/>
      <c r="L106" s="49"/>
      <c r="M106" s="49"/>
      <c r="N106" s="45"/>
      <c r="O106" s="45"/>
      <c r="P106" s="45"/>
      <c r="Q106" s="45"/>
      <c r="R106" s="49"/>
      <c r="S106" s="45"/>
      <c r="T106" s="45"/>
      <c r="U106" s="609"/>
      <c r="V106" s="45"/>
      <c r="W106" s="45"/>
      <c r="X106" s="45"/>
      <c r="Y106" s="45"/>
      <c r="Z106" s="45"/>
      <c r="AA106" s="48"/>
      <c r="AB106" s="47"/>
      <c r="AC106" s="47"/>
      <c r="AD106" s="47"/>
      <c r="AE106" s="47"/>
      <c r="AF106" s="124" t="n">
        <v>11</v>
      </c>
    </row>
    <row r="107" s="124" customFormat="true" ht="11.25" hidden="false" customHeight="true" outlineLevel="0" collapsed="false">
      <c r="A107" s="608"/>
      <c r="B107" s="49"/>
      <c r="C107" s="49"/>
      <c r="K107" s="45"/>
      <c r="L107" s="49"/>
      <c r="M107" s="49"/>
      <c r="N107" s="45"/>
      <c r="O107" s="45"/>
      <c r="P107" s="45"/>
      <c r="Q107" s="45"/>
      <c r="R107" s="49"/>
      <c r="S107" s="45"/>
      <c r="T107" s="45"/>
      <c r="U107" s="609"/>
      <c r="V107" s="45"/>
      <c r="W107" s="45"/>
      <c r="X107" s="45"/>
      <c r="Y107" s="45"/>
      <c r="Z107" s="45"/>
      <c r="AA107" s="48"/>
      <c r="AB107" s="47"/>
      <c r="AC107" s="47"/>
      <c r="AD107" s="47"/>
      <c r="AE107" s="47"/>
      <c r="AF107" s="124" t="n">
        <v>11</v>
      </c>
    </row>
    <row r="108" s="124" customFormat="true" ht="11.25" hidden="false" customHeight="true" outlineLevel="0" collapsed="false">
      <c r="A108" s="608"/>
      <c r="B108" s="49"/>
      <c r="C108" s="49"/>
      <c r="K108" s="45"/>
      <c r="L108" s="49"/>
      <c r="M108" s="49"/>
      <c r="N108" s="45"/>
      <c r="O108" s="45"/>
      <c r="P108" s="45"/>
      <c r="Q108" s="45"/>
      <c r="R108" s="49"/>
      <c r="S108" s="45"/>
      <c r="T108" s="45"/>
      <c r="U108" s="609"/>
      <c r="V108" s="45"/>
      <c r="W108" s="45"/>
      <c r="X108" s="45"/>
      <c r="Y108" s="45"/>
      <c r="Z108" s="45"/>
      <c r="AA108" s="48"/>
      <c r="AB108" s="47"/>
      <c r="AC108" s="47"/>
      <c r="AD108" s="47"/>
      <c r="AE108" s="47"/>
      <c r="AF108" s="124" t="n">
        <v>11</v>
      </c>
    </row>
    <row r="109" s="124" customFormat="true" ht="11.25" hidden="false" customHeight="true" outlineLevel="0" collapsed="false">
      <c r="A109" s="608"/>
      <c r="B109" s="49"/>
      <c r="C109" s="49"/>
      <c r="K109" s="45"/>
      <c r="L109" s="49"/>
      <c r="M109" s="49"/>
      <c r="N109" s="45"/>
      <c r="O109" s="45"/>
      <c r="P109" s="45"/>
      <c r="Q109" s="45"/>
      <c r="R109" s="49"/>
      <c r="S109" s="45"/>
      <c r="T109" s="45"/>
      <c r="U109" s="609"/>
      <c r="V109" s="45"/>
      <c r="W109" s="45"/>
      <c r="X109" s="45"/>
      <c r="Y109" s="45"/>
      <c r="Z109" s="45"/>
      <c r="AA109" s="48"/>
      <c r="AB109" s="47"/>
      <c r="AC109" s="47"/>
      <c r="AD109" s="47"/>
      <c r="AE109" s="47"/>
      <c r="AF109" s="124" t="n">
        <v>11</v>
      </c>
    </row>
    <row r="110" s="124" customFormat="true" ht="11.25" hidden="false" customHeight="true" outlineLevel="0" collapsed="false">
      <c r="A110" s="608"/>
      <c r="B110" s="49"/>
      <c r="C110" s="49"/>
      <c r="K110" s="45"/>
      <c r="L110" s="49"/>
      <c r="M110" s="49"/>
      <c r="N110" s="45"/>
      <c r="O110" s="45"/>
      <c r="P110" s="45"/>
      <c r="Q110" s="45"/>
      <c r="R110" s="49"/>
      <c r="S110" s="45"/>
      <c r="T110" s="45"/>
      <c r="U110" s="609"/>
      <c r="V110" s="45"/>
      <c r="W110" s="45"/>
      <c r="X110" s="45"/>
      <c r="Y110" s="45"/>
      <c r="Z110" s="45"/>
      <c r="AA110" s="48"/>
      <c r="AB110" s="47"/>
      <c r="AC110" s="47"/>
      <c r="AD110" s="47"/>
      <c r="AE110" s="47"/>
      <c r="AF110" s="124" t="n">
        <v>11</v>
      </c>
    </row>
    <row r="111" s="124" customFormat="true" ht="11.25" hidden="false" customHeight="true" outlineLevel="0" collapsed="false">
      <c r="A111" s="608"/>
      <c r="B111" s="49"/>
      <c r="C111" s="49"/>
      <c r="K111" s="45"/>
      <c r="L111" s="49"/>
      <c r="M111" s="49"/>
      <c r="N111" s="45"/>
      <c r="O111" s="45"/>
      <c r="P111" s="45"/>
      <c r="Q111" s="45"/>
      <c r="R111" s="49"/>
      <c r="S111" s="45"/>
      <c r="T111" s="45"/>
      <c r="U111" s="609"/>
      <c r="V111" s="45"/>
      <c r="W111" s="45"/>
      <c r="X111" s="45"/>
      <c r="Y111" s="45"/>
      <c r="Z111" s="45"/>
      <c r="AA111" s="48"/>
      <c r="AB111" s="47"/>
      <c r="AC111" s="47"/>
      <c r="AD111" s="47"/>
      <c r="AE111" s="47"/>
      <c r="AF111" s="124" t="n">
        <v>11</v>
      </c>
    </row>
    <row r="112" s="124" customFormat="true" ht="11.25" hidden="false" customHeight="true" outlineLevel="0" collapsed="false">
      <c r="A112" s="608"/>
      <c r="B112" s="49"/>
      <c r="C112" s="49"/>
      <c r="K112" s="45"/>
      <c r="L112" s="49"/>
      <c r="M112" s="49"/>
      <c r="N112" s="45"/>
      <c r="O112" s="45"/>
      <c r="P112" s="45"/>
      <c r="Q112" s="45"/>
      <c r="R112" s="49"/>
      <c r="S112" s="45"/>
      <c r="T112" s="45"/>
      <c r="U112" s="609"/>
      <c r="V112" s="45"/>
      <c r="W112" s="45"/>
      <c r="X112" s="45"/>
      <c r="Y112" s="45"/>
      <c r="Z112" s="45"/>
      <c r="AA112" s="48"/>
      <c r="AB112" s="47"/>
      <c r="AC112" s="47"/>
      <c r="AD112" s="47"/>
      <c r="AE112" s="47"/>
      <c r="AF112" s="124" t="n">
        <v>11</v>
      </c>
    </row>
    <row r="113" s="124" customFormat="true" ht="11.25" hidden="false" customHeight="true" outlineLevel="0" collapsed="false">
      <c r="A113" s="608"/>
      <c r="B113" s="49"/>
      <c r="C113" s="49"/>
      <c r="K113" s="45"/>
      <c r="L113" s="49"/>
      <c r="M113" s="49"/>
      <c r="N113" s="45"/>
      <c r="O113" s="45"/>
      <c r="P113" s="45"/>
      <c r="Q113" s="45"/>
      <c r="R113" s="49"/>
      <c r="S113" s="45"/>
      <c r="T113" s="45"/>
      <c r="U113" s="609"/>
      <c r="V113" s="45"/>
      <c r="W113" s="45"/>
      <c r="X113" s="45"/>
      <c r="Y113" s="45"/>
      <c r="Z113" s="45"/>
      <c r="AA113" s="48"/>
      <c r="AB113" s="47"/>
      <c r="AC113" s="47"/>
      <c r="AD113" s="47"/>
      <c r="AE113" s="47"/>
      <c r="AF113" s="124" t="n">
        <v>11</v>
      </c>
    </row>
    <row r="114" s="124" customFormat="true" ht="11.25" hidden="false" customHeight="true" outlineLevel="0" collapsed="false">
      <c r="A114" s="608"/>
      <c r="B114" s="49"/>
      <c r="C114" s="49"/>
      <c r="K114" s="45"/>
      <c r="L114" s="49"/>
      <c r="M114" s="49"/>
      <c r="N114" s="45"/>
      <c r="O114" s="45"/>
      <c r="P114" s="45"/>
      <c r="Q114" s="45"/>
      <c r="R114" s="49"/>
      <c r="S114" s="45"/>
      <c r="T114" s="45"/>
      <c r="U114" s="609"/>
      <c r="V114" s="45"/>
      <c r="W114" s="45"/>
      <c r="X114" s="45"/>
      <c r="Y114" s="45"/>
      <c r="Z114" s="45"/>
      <c r="AA114" s="48"/>
      <c r="AB114" s="47"/>
      <c r="AC114" s="47"/>
      <c r="AD114" s="47"/>
      <c r="AE114" s="47"/>
      <c r="AF114" s="124" t="n">
        <v>11</v>
      </c>
    </row>
    <row r="115" s="124" customFormat="true" ht="11.25" hidden="false" customHeight="true" outlineLevel="0" collapsed="false">
      <c r="A115" s="608"/>
      <c r="B115" s="49"/>
      <c r="C115" s="49"/>
      <c r="K115" s="45"/>
      <c r="L115" s="49"/>
      <c r="M115" s="49"/>
      <c r="N115" s="45"/>
      <c r="O115" s="45"/>
      <c r="P115" s="45"/>
      <c r="Q115" s="45"/>
      <c r="R115" s="49"/>
      <c r="S115" s="45"/>
      <c r="T115" s="45"/>
      <c r="U115" s="609"/>
      <c r="V115" s="45"/>
      <c r="W115" s="45"/>
      <c r="X115" s="45"/>
      <c r="Y115" s="45"/>
      <c r="Z115" s="45"/>
      <c r="AA115" s="48"/>
      <c r="AB115" s="47"/>
      <c r="AC115" s="47"/>
      <c r="AD115" s="47"/>
      <c r="AE115" s="47"/>
      <c r="AF115" s="124" t="n">
        <v>11</v>
      </c>
    </row>
    <row r="116" s="124" customFormat="true" ht="11.25" hidden="false" customHeight="true" outlineLevel="0" collapsed="false">
      <c r="A116" s="608"/>
      <c r="B116" s="49"/>
      <c r="C116" s="49"/>
      <c r="K116" s="45"/>
      <c r="L116" s="49"/>
      <c r="M116" s="49"/>
      <c r="N116" s="45"/>
      <c r="O116" s="45"/>
      <c r="P116" s="45"/>
      <c r="Q116" s="45"/>
      <c r="R116" s="49"/>
      <c r="S116" s="45"/>
      <c r="T116" s="45"/>
      <c r="U116" s="609"/>
      <c r="V116" s="45"/>
      <c r="W116" s="45"/>
      <c r="X116" s="45"/>
      <c r="Y116" s="45"/>
      <c r="Z116" s="45"/>
      <c r="AA116" s="48"/>
      <c r="AB116" s="47"/>
      <c r="AC116" s="47"/>
      <c r="AD116" s="47"/>
      <c r="AE116" s="47"/>
      <c r="AF116" s="124" t="n">
        <v>11</v>
      </c>
    </row>
    <row r="117" s="124" customFormat="true" ht="11.25" hidden="false" customHeight="true" outlineLevel="0" collapsed="false">
      <c r="A117" s="608"/>
      <c r="B117" s="49"/>
      <c r="C117" s="49"/>
      <c r="K117" s="45"/>
      <c r="L117" s="49"/>
      <c r="M117" s="49"/>
      <c r="N117" s="45"/>
      <c r="O117" s="45"/>
      <c r="P117" s="45"/>
      <c r="Q117" s="45"/>
      <c r="R117" s="49"/>
      <c r="S117" s="45"/>
      <c r="T117" s="45"/>
      <c r="U117" s="609"/>
      <c r="V117" s="45"/>
      <c r="W117" s="45"/>
      <c r="X117" s="45"/>
      <c r="Y117" s="45"/>
      <c r="Z117" s="45"/>
      <c r="AA117" s="48"/>
      <c r="AB117" s="47"/>
      <c r="AC117" s="47"/>
      <c r="AD117" s="47"/>
      <c r="AE117" s="47"/>
      <c r="AF117" s="124" t="n">
        <v>11</v>
      </c>
    </row>
    <row r="118" s="124" customFormat="true" ht="11.25" hidden="false" customHeight="true" outlineLevel="0" collapsed="false">
      <c r="A118" s="608"/>
      <c r="B118" s="49"/>
      <c r="C118" s="49"/>
      <c r="K118" s="45"/>
      <c r="L118" s="49"/>
      <c r="M118" s="49"/>
      <c r="N118" s="45"/>
      <c r="O118" s="45"/>
      <c r="P118" s="45"/>
      <c r="Q118" s="45"/>
      <c r="R118" s="49"/>
      <c r="S118" s="45"/>
      <c r="T118" s="45"/>
      <c r="U118" s="609"/>
      <c r="V118" s="45"/>
      <c r="W118" s="45"/>
      <c r="X118" s="45"/>
      <c r="Y118" s="45"/>
      <c r="Z118" s="45"/>
      <c r="AA118" s="48"/>
      <c r="AB118" s="47"/>
      <c r="AC118" s="47"/>
      <c r="AD118" s="47"/>
      <c r="AE118" s="47"/>
      <c r="AF118" s="124" t="n">
        <v>11</v>
      </c>
    </row>
    <row r="119" s="124" customFormat="true" ht="11.25" hidden="false" customHeight="true" outlineLevel="0" collapsed="false">
      <c r="A119" s="608"/>
      <c r="B119" s="49"/>
      <c r="C119" s="49"/>
      <c r="K119" s="45"/>
      <c r="L119" s="49"/>
      <c r="M119" s="49"/>
      <c r="N119" s="45"/>
      <c r="O119" s="45"/>
      <c r="P119" s="45"/>
      <c r="Q119" s="45"/>
      <c r="R119" s="49"/>
      <c r="S119" s="45"/>
      <c r="T119" s="45"/>
      <c r="U119" s="609"/>
      <c r="V119" s="45"/>
      <c r="W119" s="45"/>
      <c r="X119" s="45"/>
      <c r="Y119" s="45"/>
      <c r="Z119" s="45"/>
      <c r="AA119" s="48"/>
      <c r="AB119" s="47"/>
      <c r="AC119" s="47"/>
      <c r="AD119" s="47"/>
      <c r="AE119" s="47"/>
      <c r="AF119" s="124" t="n">
        <v>11</v>
      </c>
    </row>
    <row r="120" s="124" customFormat="true" ht="11.25" hidden="false" customHeight="true" outlineLevel="0" collapsed="false">
      <c r="A120" s="608"/>
      <c r="B120" s="49"/>
      <c r="C120" s="49"/>
      <c r="K120" s="45"/>
      <c r="L120" s="49"/>
      <c r="M120" s="49"/>
      <c r="N120" s="45"/>
      <c r="O120" s="45"/>
      <c r="P120" s="45"/>
      <c r="Q120" s="45"/>
      <c r="R120" s="49"/>
      <c r="S120" s="45"/>
      <c r="T120" s="45"/>
      <c r="U120" s="609"/>
      <c r="V120" s="45"/>
      <c r="W120" s="45"/>
      <c r="X120" s="45"/>
      <c r="Y120" s="45"/>
      <c r="Z120" s="45"/>
      <c r="AA120" s="48"/>
      <c r="AB120" s="47"/>
      <c r="AC120" s="47"/>
      <c r="AD120" s="47"/>
      <c r="AE120" s="47"/>
      <c r="AF120" s="124" t="n">
        <v>11</v>
      </c>
    </row>
    <row r="121" s="124" customFormat="true" ht="11.25" hidden="false" customHeight="true" outlineLevel="0" collapsed="false">
      <c r="A121" s="608"/>
      <c r="B121" s="49"/>
      <c r="C121" s="49"/>
      <c r="K121" s="45"/>
      <c r="L121" s="49"/>
      <c r="M121" s="49"/>
      <c r="N121" s="45"/>
      <c r="O121" s="45"/>
      <c r="P121" s="45"/>
      <c r="Q121" s="45"/>
      <c r="R121" s="49"/>
      <c r="S121" s="45"/>
      <c r="T121" s="45"/>
      <c r="U121" s="609"/>
      <c r="V121" s="45"/>
      <c r="W121" s="45"/>
      <c r="X121" s="45"/>
      <c r="Y121" s="45"/>
      <c r="Z121" s="45"/>
      <c r="AA121" s="48"/>
      <c r="AB121" s="47"/>
      <c r="AC121" s="47"/>
      <c r="AD121" s="47"/>
      <c r="AE121" s="47"/>
      <c r="AF121" s="124" t="n">
        <v>11</v>
      </c>
    </row>
    <row r="122" s="124" customFormat="true" ht="11.25" hidden="false" customHeight="true" outlineLevel="0" collapsed="false">
      <c r="A122" s="608"/>
      <c r="B122" s="49"/>
      <c r="C122" s="49"/>
      <c r="K122" s="45"/>
      <c r="L122" s="49"/>
      <c r="M122" s="49"/>
      <c r="N122" s="45"/>
      <c r="O122" s="45"/>
      <c r="P122" s="45"/>
      <c r="Q122" s="45"/>
      <c r="R122" s="49"/>
      <c r="S122" s="45"/>
      <c r="T122" s="45"/>
      <c r="U122" s="609"/>
      <c r="V122" s="45"/>
      <c r="W122" s="45"/>
      <c r="X122" s="45"/>
      <c r="Y122" s="45"/>
      <c r="Z122" s="45"/>
      <c r="AA122" s="48"/>
      <c r="AB122" s="47"/>
      <c r="AC122" s="47"/>
      <c r="AD122" s="47"/>
      <c r="AE122" s="47"/>
      <c r="AF122" s="124" t="n">
        <v>11</v>
      </c>
    </row>
    <row r="123" s="124" customFormat="true" ht="11.25" hidden="false" customHeight="true" outlineLevel="0" collapsed="false">
      <c r="A123" s="608"/>
      <c r="B123" s="49"/>
      <c r="C123" s="49"/>
      <c r="K123" s="45"/>
      <c r="L123" s="49"/>
      <c r="M123" s="49"/>
      <c r="N123" s="45"/>
      <c r="O123" s="45"/>
      <c r="P123" s="45"/>
      <c r="Q123" s="45"/>
      <c r="R123" s="49"/>
      <c r="S123" s="45"/>
      <c r="T123" s="45"/>
      <c r="U123" s="609"/>
      <c r="V123" s="45"/>
      <c r="W123" s="45"/>
      <c r="X123" s="45"/>
      <c r="Y123" s="45"/>
      <c r="Z123" s="45"/>
      <c r="AA123" s="48"/>
      <c r="AB123" s="47"/>
      <c r="AC123" s="47"/>
      <c r="AD123" s="47"/>
      <c r="AE123" s="47"/>
      <c r="AF123" s="124" t="n">
        <v>11</v>
      </c>
    </row>
    <row r="124" s="124" customFormat="true" ht="11.25" hidden="false" customHeight="true" outlineLevel="0" collapsed="false">
      <c r="A124" s="608"/>
      <c r="B124" s="49"/>
      <c r="C124" s="49"/>
      <c r="K124" s="45"/>
      <c r="L124" s="49"/>
      <c r="M124" s="49"/>
      <c r="N124" s="45"/>
      <c r="O124" s="45"/>
      <c r="P124" s="45"/>
      <c r="Q124" s="45"/>
      <c r="R124" s="49"/>
      <c r="S124" s="45"/>
      <c r="T124" s="45"/>
      <c r="U124" s="609"/>
      <c r="V124" s="45"/>
      <c r="W124" s="45"/>
      <c r="X124" s="45"/>
      <c r="Y124" s="45"/>
      <c r="Z124" s="45"/>
      <c r="AA124" s="48"/>
      <c r="AB124" s="47"/>
      <c r="AC124" s="47"/>
      <c r="AD124" s="47"/>
      <c r="AE124" s="47"/>
      <c r="AF124" s="124" t="n">
        <v>11</v>
      </c>
    </row>
    <row r="125" s="124" customFormat="true" ht="11.25" hidden="false" customHeight="true" outlineLevel="0" collapsed="false">
      <c r="A125" s="608"/>
      <c r="B125" s="49"/>
      <c r="C125" s="49"/>
      <c r="K125" s="45"/>
      <c r="L125" s="49"/>
      <c r="M125" s="49"/>
      <c r="N125" s="45"/>
      <c r="O125" s="45"/>
      <c r="P125" s="45"/>
      <c r="Q125" s="45"/>
      <c r="R125" s="49"/>
      <c r="S125" s="45"/>
      <c r="T125" s="45"/>
      <c r="U125" s="609"/>
      <c r="V125" s="45"/>
      <c r="W125" s="45"/>
      <c r="X125" s="45"/>
      <c r="Y125" s="45"/>
      <c r="Z125" s="45"/>
      <c r="AA125" s="48"/>
      <c r="AB125" s="47"/>
      <c r="AC125" s="47"/>
      <c r="AD125" s="47"/>
      <c r="AE125" s="47"/>
      <c r="AF125" s="124" t="n">
        <v>11</v>
      </c>
    </row>
    <row r="126" s="124" customFormat="true" ht="11.25" hidden="false" customHeight="true" outlineLevel="0" collapsed="false">
      <c r="A126" s="608"/>
      <c r="B126" s="49"/>
      <c r="C126" s="49"/>
      <c r="K126" s="45"/>
      <c r="L126" s="49"/>
      <c r="M126" s="49"/>
      <c r="N126" s="45"/>
      <c r="O126" s="45"/>
      <c r="P126" s="45"/>
      <c r="Q126" s="45"/>
      <c r="R126" s="49"/>
      <c r="S126" s="45"/>
      <c r="T126" s="45"/>
      <c r="U126" s="609"/>
      <c r="V126" s="45"/>
      <c r="W126" s="45"/>
      <c r="X126" s="45"/>
      <c r="Y126" s="45"/>
      <c r="Z126" s="45"/>
      <c r="AA126" s="48"/>
      <c r="AB126" s="47"/>
      <c r="AC126" s="47"/>
      <c r="AD126" s="47"/>
      <c r="AE126" s="47"/>
      <c r="AF126" s="124" t="n">
        <v>11</v>
      </c>
    </row>
    <row r="127" s="124" customFormat="true" ht="11.25" hidden="false" customHeight="true" outlineLevel="0" collapsed="false">
      <c r="A127" s="608"/>
      <c r="B127" s="49"/>
      <c r="C127" s="49"/>
      <c r="K127" s="45"/>
      <c r="L127" s="49"/>
      <c r="M127" s="49"/>
      <c r="N127" s="45"/>
      <c r="O127" s="45"/>
      <c r="P127" s="45"/>
      <c r="Q127" s="45"/>
      <c r="R127" s="49"/>
      <c r="S127" s="45"/>
      <c r="T127" s="45"/>
      <c r="U127" s="609"/>
      <c r="V127" s="45"/>
      <c r="W127" s="45"/>
      <c r="X127" s="45"/>
      <c r="Y127" s="45"/>
      <c r="Z127" s="45"/>
      <c r="AA127" s="48"/>
      <c r="AB127" s="47"/>
      <c r="AC127" s="47"/>
      <c r="AD127" s="47"/>
      <c r="AE127" s="47"/>
      <c r="AF127" s="124" t="n">
        <v>11</v>
      </c>
    </row>
    <row r="128" s="124" customFormat="true" ht="11.25" hidden="false" customHeight="true" outlineLevel="0" collapsed="false">
      <c r="A128" s="608"/>
      <c r="B128" s="49"/>
      <c r="C128" s="49"/>
      <c r="K128" s="45"/>
      <c r="L128" s="49"/>
      <c r="M128" s="49"/>
      <c r="N128" s="45"/>
      <c r="O128" s="45"/>
      <c r="P128" s="45"/>
      <c r="Q128" s="45"/>
      <c r="R128" s="49"/>
      <c r="S128" s="45"/>
      <c r="T128" s="45"/>
      <c r="U128" s="609"/>
      <c r="V128" s="45"/>
      <c r="W128" s="45"/>
      <c r="X128" s="45"/>
      <c r="Y128" s="45"/>
      <c r="Z128" s="45"/>
      <c r="AA128" s="48"/>
      <c r="AB128" s="47"/>
      <c r="AC128" s="47"/>
      <c r="AD128" s="47"/>
      <c r="AE128" s="47"/>
      <c r="AF128" s="124" t="n">
        <v>11</v>
      </c>
    </row>
    <row r="129" s="124" customFormat="true" ht="11.25" hidden="false" customHeight="true" outlineLevel="0" collapsed="false">
      <c r="A129" s="608"/>
      <c r="B129" s="49"/>
      <c r="C129" s="49"/>
      <c r="K129" s="45"/>
      <c r="L129" s="49"/>
      <c r="M129" s="49"/>
      <c r="N129" s="45"/>
      <c r="O129" s="45"/>
      <c r="P129" s="45"/>
      <c r="Q129" s="45"/>
      <c r="R129" s="49"/>
      <c r="S129" s="45"/>
      <c r="T129" s="45"/>
      <c r="U129" s="609"/>
      <c r="V129" s="45"/>
      <c r="W129" s="45"/>
      <c r="X129" s="45"/>
      <c r="Y129" s="45"/>
      <c r="Z129" s="45"/>
      <c r="AA129" s="48"/>
      <c r="AB129" s="47"/>
      <c r="AC129" s="47"/>
      <c r="AD129" s="47"/>
      <c r="AE129" s="47"/>
      <c r="AF129" s="124" t="n">
        <v>11</v>
      </c>
    </row>
    <row r="130" s="124" customFormat="true" ht="11.25" hidden="false" customHeight="true" outlineLevel="0" collapsed="false">
      <c r="A130" s="608"/>
      <c r="B130" s="49"/>
      <c r="C130" s="49"/>
      <c r="K130" s="45"/>
      <c r="L130" s="49"/>
      <c r="M130" s="49"/>
      <c r="N130" s="45"/>
      <c r="O130" s="45"/>
      <c r="P130" s="45"/>
      <c r="Q130" s="45"/>
      <c r="R130" s="49"/>
      <c r="S130" s="45"/>
      <c r="T130" s="45"/>
      <c r="U130" s="609"/>
      <c r="V130" s="45"/>
      <c r="W130" s="45"/>
      <c r="X130" s="45"/>
      <c r="Y130" s="45"/>
      <c r="Z130" s="45"/>
      <c r="AA130" s="48"/>
      <c r="AB130" s="47"/>
      <c r="AC130" s="47"/>
      <c r="AD130" s="47"/>
      <c r="AE130" s="47"/>
      <c r="AF130" s="124" t="n">
        <v>11</v>
      </c>
    </row>
    <row r="131" s="124" customFormat="true" ht="11.25" hidden="false" customHeight="true" outlineLevel="0" collapsed="false">
      <c r="A131" s="608"/>
      <c r="B131" s="49"/>
      <c r="C131" s="49"/>
      <c r="K131" s="45"/>
      <c r="L131" s="49"/>
      <c r="M131" s="49"/>
      <c r="N131" s="45"/>
      <c r="O131" s="45"/>
      <c r="P131" s="45"/>
      <c r="Q131" s="45"/>
      <c r="R131" s="49"/>
      <c r="S131" s="45"/>
      <c r="T131" s="45"/>
      <c r="U131" s="609"/>
      <c r="V131" s="45"/>
      <c r="W131" s="45"/>
      <c r="X131" s="45"/>
      <c r="Y131" s="45"/>
      <c r="Z131" s="45"/>
      <c r="AA131" s="48"/>
      <c r="AB131" s="47"/>
      <c r="AC131" s="47"/>
      <c r="AD131" s="47"/>
      <c r="AE131" s="47"/>
      <c r="AF131" s="124" t="n">
        <v>11</v>
      </c>
    </row>
    <row r="132" s="124" customFormat="true" ht="11.25" hidden="false" customHeight="true" outlineLevel="0" collapsed="false">
      <c r="A132" s="608"/>
      <c r="B132" s="49"/>
      <c r="C132" s="49"/>
      <c r="K132" s="45"/>
      <c r="L132" s="49"/>
      <c r="M132" s="49"/>
      <c r="N132" s="45"/>
      <c r="O132" s="45"/>
      <c r="P132" s="45"/>
      <c r="Q132" s="45"/>
      <c r="R132" s="49"/>
      <c r="S132" s="45"/>
      <c r="T132" s="45"/>
      <c r="U132" s="609"/>
      <c r="V132" s="45"/>
      <c r="W132" s="45"/>
      <c r="X132" s="45"/>
      <c r="Y132" s="45"/>
      <c r="Z132" s="45"/>
      <c r="AA132" s="48"/>
      <c r="AB132" s="47"/>
      <c r="AC132" s="47"/>
      <c r="AD132" s="47"/>
      <c r="AE132" s="47"/>
      <c r="AF132" s="124" t="n">
        <v>11</v>
      </c>
    </row>
    <row r="133" s="124" customFormat="true" ht="11.25" hidden="false" customHeight="true" outlineLevel="0" collapsed="false">
      <c r="A133" s="608"/>
      <c r="B133" s="49"/>
      <c r="C133" s="49"/>
      <c r="K133" s="45"/>
      <c r="L133" s="49"/>
      <c r="M133" s="49"/>
      <c r="N133" s="45"/>
      <c r="O133" s="45"/>
      <c r="P133" s="45"/>
      <c r="Q133" s="45"/>
      <c r="R133" s="49"/>
      <c r="S133" s="45"/>
      <c r="T133" s="45"/>
      <c r="U133" s="609"/>
      <c r="V133" s="45"/>
      <c r="W133" s="45"/>
      <c r="X133" s="45"/>
      <c r="Y133" s="45"/>
      <c r="Z133" s="45"/>
      <c r="AA133" s="48"/>
      <c r="AB133" s="47"/>
      <c r="AC133" s="47"/>
      <c r="AD133" s="47"/>
      <c r="AE133" s="47"/>
      <c r="AF133" s="124" t="n">
        <v>11</v>
      </c>
    </row>
    <row r="134" s="124" customFormat="true" ht="11.25" hidden="false" customHeight="true" outlineLevel="0" collapsed="false">
      <c r="A134" s="608"/>
      <c r="B134" s="49"/>
      <c r="C134" s="49"/>
      <c r="K134" s="45"/>
      <c r="L134" s="49"/>
      <c r="M134" s="49"/>
      <c r="N134" s="45"/>
      <c r="O134" s="45"/>
      <c r="P134" s="45"/>
      <c r="Q134" s="45"/>
      <c r="R134" s="49"/>
      <c r="S134" s="45"/>
      <c r="T134" s="45"/>
      <c r="U134" s="609"/>
      <c r="V134" s="45"/>
      <c r="W134" s="45"/>
      <c r="X134" s="45"/>
      <c r="Y134" s="45"/>
      <c r="Z134" s="45"/>
      <c r="AA134" s="48"/>
      <c r="AB134" s="47"/>
      <c r="AC134" s="47"/>
      <c r="AD134" s="47"/>
      <c r="AE134" s="47"/>
      <c r="AF134" s="124" t="n">
        <v>11</v>
      </c>
    </row>
    <row r="135" s="124" customFormat="true" ht="11.25" hidden="false" customHeight="true" outlineLevel="0" collapsed="false">
      <c r="A135" s="608"/>
      <c r="B135" s="49"/>
      <c r="C135" s="49"/>
      <c r="K135" s="45"/>
      <c r="L135" s="49"/>
      <c r="M135" s="49"/>
      <c r="N135" s="45"/>
      <c r="O135" s="45"/>
      <c r="P135" s="45"/>
      <c r="Q135" s="45"/>
      <c r="R135" s="49"/>
      <c r="S135" s="45"/>
      <c r="T135" s="45"/>
      <c r="U135" s="609"/>
      <c r="V135" s="45"/>
      <c r="W135" s="45"/>
      <c r="X135" s="45"/>
      <c r="Y135" s="45"/>
      <c r="Z135" s="45"/>
      <c r="AA135" s="48"/>
      <c r="AB135" s="47"/>
      <c r="AC135" s="47"/>
      <c r="AD135" s="47"/>
      <c r="AE135" s="47"/>
      <c r="AF135" s="124" t="n">
        <v>11</v>
      </c>
    </row>
    <row r="136" s="124" customFormat="true" ht="11.25" hidden="false" customHeight="true" outlineLevel="0" collapsed="false">
      <c r="A136" s="608"/>
      <c r="B136" s="49"/>
      <c r="C136" s="49"/>
      <c r="K136" s="45"/>
      <c r="L136" s="49"/>
      <c r="M136" s="49"/>
      <c r="N136" s="45"/>
      <c r="O136" s="45"/>
      <c r="P136" s="45"/>
      <c r="Q136" s="45"/>
      <c r="R136" s="49"/>
      <c r="S136" s="45"/>
      <c r="T136" s="45"/>
      <c r="U136" s="609"/>
      <c r="V136" s="45"/>
      <c r="W136" s="45"/>
      <c r="X136" s="45"/>
      <c r="Y136" s="45"/>
      <c r="Z136" s="45"/>
      <c r="AA136" s="48"/>
      <c r="AB136" s="47"/>
      <c r="AC136" s="47"/>
      <c r="AD136" s="47"/>
      <c r="AE136" s="47"/>
      <c r="AF136" s="124" t="n">
        <v>11</v>
      </c>
    </row>
    <row r="137" s="124" customFormat="true" ht="11.25" hidden="false" customHeight="true" outlineLevel="0" collapsed="false">
      <c r="A137" s="608"/>
      <c r="B137" s="49"/>
      <c r="C137" s="49"/>
      <c r="K137" s="45"/>
      <c r="L137" s="49"/>
      <c r="M137" s="49"/>
      <c r="N137" s="45"/>
      <c r="O137" s="45"/>
      <c r="P137" s="45"/>
      <c r="Q137" s="45"/>
      <c r="R137" s="49"/>
      <c r="S137" s="45"/>
      <c r="T137" s="45"/>
      <c r="U137" s="609"/>
      <c r="V137" s="45"/>
      <c r="W137" s="45"/>
      <c r="X137" s="45"/>
      <c r="Y137" s="45"/>
      <c r="Z137" s="45"/>
      <c r="AA137" s="48"/>
      <c r="AB137" s="47"/>
      <c r="AC137" s="47"/>
      <c r="AD137" s="47"/>
      <c r="AE137" s="47"/>
      <c r="AF137" s="124" t="n">
        <v>11</v>
      </c>
    </row>
    <row r="138" s="124" customFormat="true" ht="11.25" hidden="false" customHeight="true" outlineLevel="0" collapsed="false">
      <c r="A138" s="608"/>
      <c r="B138" s="49"/>
      <c r="C138" s="49"/>
      <c r="K138" s="45"/>
      <c r="L138" s="49"/>
      <c r="M138" s="49"/>
      <c r="N138" s="45"/>
      <c r="O138" s="45"/>
      <c r="P138" s="45"/>
      <c r="Q138" s="45"/>
      <c r="R138" s="49"/>
      <c r="S138" s="45"/>
      <c r="T138" s="45"/>
      <c r="U138" s="609"/>
      <c r="V138" s="45"/>
      <c r="W138" s="45"/>
      <c r="X138" s="45"/>
      <c r="Y138" s="45"/>
      <c r="Z138" s="45"/>
      <c r="AA138" s="48"/>
      <c r="AB138" s="47"/>
      <c r="AC138" s="47"/>
      <c r="AD138" s="47"/>
      <c r="AE138" s="47"/>
      <c r="AF138" s="124" t="n">
        <v>11</v>
      </c>
    </row>
    <row r="139" s="124" customFormat="true" ht="11.25" hidden="false" customHeight="true" outlineLevel="0" collapsed="false">
      <c r="A139" s="608"/>
      <c r="B139" s="49"/>
      <c r="C139" s="49"/>
      <c r="K139" s="45"/>
      <c r="L139" s="49"/>
      <c r="M139" s="49"/>
      <c r="N139" s="45"/>
      <c r="O139" s="45"/>
      <c r="P139" s="45"/>
      <c r="Q139" s="45"/>
      <c r="R139" s="49"/>
      <c r="S139" s="45"/>
      <c r="T139" s="45"/>
      <c r="U139" s="609"/>
      <c r="V139" s="45"/>
      <c r="W139" s="45"/>
      <c r="X139" s="45"/>
      <c r="Y139" s="45"/>
      <c r="Z139" s="45"/>
      <c r="AA139" s="48"/>
      <c r="AB139" s="47"/>
      <c r="AC139" s="47"/>
      <c r="AD139" s="47"/>
      <c r="AE139" s="47"/>
      <c r="AF139" s="124" t="n">
        <v>11</v>
      </c>
    </row>
    <row r="140" s="124" customFormat="true" ht="11.25" hidden="false" customHeight="true" outlineLevel="0" collapsed="false">
      <c r="A140" s="608"/>
      <c r="B140" s="49"/>
      <c r="C140" s="49"/>
      <c r="K140" s="45"/>
      <c r="L140" s="49"/>
      <c r="M140" s="49"/>
      <c r="N140" s="45"/>
      <c r="O140" s="45"/>
      <c r="P140" s="45"/>
      <c r="Q140" s="45"/>
      <c r="R140" s="49"/>
      <c r="S140" s="45"/>
      <c r="T140" s="45"/>
      <c r="U140" s="609"/>
      <c r="V140" s="45"/>
      <c r="W140" s="45"/>
      <c r="X140" s="45"/>
      <c r="Y140" s="45"/>
      <c r="Z140" s="45"/>
      <c r="AA140" s="48"/>
      <c r="AB140" s="47"/>
      <c r="AC140" s="47"/>
      <c r="AD140" s="47"/>
      <c r="AE140" s="47"/>
      <c r="AF140" s="124" t="n">
        <v>11</v>
      </c>
    </row>
    <row r="141" s="124" customFormat="true" ht="11.25" hidden="false" customHeight="true" outlineLevel="0" collapsed="false">
      <c r="A141" s="608"/>
      <c r="B141" s="49"/>
      <c r="C141" s="49"/>
      <c r="K141" s="45"/>
      <c r="L141" s="49"/>
      <c r="M141" s="49"/>
      <c r="N141" s="45"/>
      <c r="O141" s="45"/>
      <c r="P141" s="45"/>
      <c r="Q141" s="45"/>
      <c r="R141" s="49"/>
      <c r="S141" s="45"/>
      <c r="T141" s="45"/>
      <c r="U141" s="609"/>
      <c r="V141" s="45"/>
      <c r="W141" s="45"/>
      <c r="X141" s="45"/>
      <c r="Y141" s="45"/>
      <c r="Z141" s="45"/>
      <c r="AA141" s="48"/>
      <c r="AB141" s="47"/>
      <c r="AC141" s="47"/>
      <c r="AD141" s="47"/>
      <c r="AE141" s="47"/>
      <c r="AF141" s="124" t="n">
        <v>11</v>
      </c>
    </row>
    <row r="142" s="124" customFormat="true" ht="11.25" hidden="false" customHeight="true" outlineLevel="0" collapsed="false">
      <c r="A142" s="608"/>
      <c r="B142" s="49"/>
      <c r="C142" s="49"/>
      <c r="K142" s="45"/>
      <c r="L142" s="49"/>
      <c r="M142" s="49"/>
      <c r="N142" s="45"/>
      <c r="O142" s="45"/>
      <c r="P142" s="45"/>
      <c r="Q142" s="45"/>
      <c r="R142" s="49"/>
      <c r="S142" s="45"/>
      <c r="T142" s="45"/>
      <c r="U142" s="609"/>
      <c r="V142" s="45"/>
      <c r="W142" s="45"/>
      <c r="X142" s="45"/>
      <c r="Y142" s="45"/>
      <c r="Z142" s="45"/>
      <c r="AA142" s="48"/>
      <c r="AB142" s="47"/>
      <c r="AC142" s="47"/>
      <c r="AD142" s="47"/>
      <c r="AE142" s="47"/>
      <c r="AF142" s="124" t="n">
        <v>11</v>
      </c>
    </row>
    <row r="143" s="124" customFormat="true" ht="11.25" hidden="false" customHeight="true" outlineLevel="0" collapsed="false">
      <c r="A143" s="608"/>
      <c r="B143" s="49"/>
      <c r="C143" s="49"/>
      <c r="K143" s="45"/>
      <c r="L143" s="49"/>
      <c r="M143" s="49"/>
      <c r="N143" s="45"/>
      <c r="O143" s="45"/>
      <c r="P143" s="45"/>
      <c r="Q143" s="45"/>
      <c r="R143" s="49"/>
      <c r="S143" s="45"/>
      <c r="T143" s="45"/>
      <c r="U143" s="609"/>
      <c r="V143" s="45"/>
      <c r="W143" s="45"/>
      <c r="X143" s="45"/>
      <c r="Y143" s="45"/>
      <c r="Z143" s="45"/>
      <c r="AA143" s="48"/>
      <c r="AB143" s="47"/>
      <c r="AC143" s="47"/>
      <c r="AD143" s="47"/>
      <c r="AE143" s="47"/>
      <c r="AF143" s="124" t="n">
        <v>11</v>
      </c>
    </row>
    <row r="144" s="124" customFormat="true" ht="11.25" hidden="false" customHeight="true" outlineLevel="0" collapsed="false">
      <c r="A144" s="608"/>
      <c r="B144" s="49"/>
      <c r="C144" s="49"/>
      <c r="K144" s="45"/>
      <c r="L144" s="49"/>
      <c r="M144" s="49"/>
      <c r="N144" s="45"/>
      <c r="O144" s="45"/>
      <c r="P144" s="45"/>
      <c r="Q144" s="45"/>
      <c r="R144" s="49"/>
      <c r="S144" s="45"/>
      <c r="T144" s="45"/>
      <c r="U144" s="609"/>
      <c r="V144" s="45"/>
      <c r="W144" s="45"/>
      <c r="X144" s="45"/>
      <c r="Y144" s="45"/>
      <c r="Z144" s="45"/>
      <c r="AA144" s="48"/>
      <c r="AB144" s="47"/>
      <c r="AC144" s="47"/>
      <c r="AD144" s="47"/>
      <c r="AE144" s="47"/>
      <c r="AF144" s="124" t="n">
        <v>11</v>
      </c>
    </row>
    <row r="145" s="124" customFormat="true" ht="11.25" hidden="false" customHeight="true" outlineLevel="0" collapsed="false">
      <c r="A145" s="608"/>
      <c r="B145" s="49"/>
      <c r="C145" s="49"/>
      <c r="K145" s="45"/>
      <c r="L145" s="49"/>
      <c r="M145" s="49"/>
      <c r="N145" s="45"/>
      <c r="O145" s="45"/>
      <c r="P145" s="45"/>
      <c r="Q145" s="45"/>
      <c r="R145" s="49"/>
      <c r="S145" s="45"/>
      <c r="T145" s="45"/>
      <c r="U145" s="609"/>
      <c r="V145" s="45"/>
      <c r="W145" s="45"/>
      <c r="X145" s="45"/>
      <c r="Y145" s="45"/>
      <c r="Z145" s="45"/>
      <c r="AA145" s="48"/>
      <c r="AB145" s="47"/>
      <c r="AC145" s="47"/>
      <c r="AD145" s="47"/>
      <c r="AE145" s="47"/>
      <c r="AF145" s="124" t="n">
        <v>11</v>
      </c>
    </row>
    <row r="146" s="124" customFormat="true" ht="11.25" hidden="false" customHeight="true" outlineLevel="0" collapsed="false">
      <c r="A146" s="608"/>
      <c r="B146" s="49"/>
      <c r="C146" s="49"/>
      <c r="K146" s="45"/>
      <c r="L146" s="49"/>
      <c r="M146" s="49"/>
      <c r="N146" s="45"/>
      <c r="O146" s="45"/>
      <c r="P146" s="45"/>
      <c r="Q146" s="45"/>
      <c r="R146" s="49"/>
      <c r="S146" s="45"/>
      <c r="T146" s="45"/>
      <c r="U146" s="609"/>
      <c r="V146" s="45"/>
      <c r="W146" s="45"/>
      <c r="X146" s="45"/>
      <c r="Y146" s="45"/>
      <c r="Z146" s="45"/>
      <c r="AA146" s="48"/>
      <c r="AB146" s="47"/>
      <c r="AC146" s="47"/>
      <c r="AD146" s="47"/>
      <c r="AE146" s="47"/>
      <c r="AF146" s="124" t="n">
        <v>11</v>
      </c>
    </row>
    <row r="147" s="124" customFormat="true" ht="11.25" hidden="false" customHeight="true" outlineLevel="0" collapsed="false">
      <c r="A147" s="608"/>
      <c r="B147" s="49"/>
      <c r="C147" s="49"/>
      <c r="K147" s="45"/>
      <c r="L147" s="49"/>
      <c r="M147" s="49"/>
      <c r="N147" s="45"/>
      <c r="O147" s="45"/>
      <c r="P147" s="45"/>
      <c r="Q147" s="45"/>
      <c r="R147" s="49"/>
      <c r="S147" s="45"/>
      <c r="T147" s="45"/>
      <c r="U147" s="609"/>
      <c r="V147" s="45"/>
      <c r="W147" s="45"/>
      <c r="X147" s="45"/>
      <c r="Y147" s="45"/>
      <c r="Z147" s="45"/>
      <c r="AA147" s="48"/>
      <c r="AB147" s="47"/>
      <c r="AC147" s="47"/>
      <c r="AD147" s="47"/>
      <c r="AE147" s="47"/>
      <c r="AF147" s="124" t="n">
        <v>11</v>
      </c>
    </row>
    <row r="148" s="124" customFormat="true" ht="11.25" hidden="false" customHeight="true" outlineLevel="0" collapsed="false">
      <c r="A148" s="608"/>
      <c r="B148" s="49"/>
      <c r="C148" s="49"/>
      <c r="K148" s="45"/>
      <c r="L148" s="49"/>
      <c r="M148" s="49"/>
      <c r="N148" s="45"/>
      <c r="O148" s="45"/>
      <c r="P148" s="45"/>
      <c r="Q148" s="45"/>
      <c r="R148" s="49"/>
      <c r="S148" s="45"/>
      <c r="T148" s="45"/>
      <c r="U148" s="609"/>
      <c r="V148" s="45"/>
      <c r="W148" s="45"/>
      <c r="X148" s="45"/>
      <c r="Y148" s="45"/>
      <c r="Z148" s="45"/>
      <c r="AA148" s="48"/>
      <c r="AB148" s="47"/>
      <c r="AC148" s="47"/>
      <c r="AD148" s="47"/>
      <c r="AE148" s="47"/>
      <c r="AF148" s="124" t="n">
        <v>11</v>
      </c>
    </row>
    <row r="149" s="124" customFormat="true" ht="11.25" hidden="false" customHeight="true" outlineLevel="0" collapsed="false">
      <c r="A149" s="608"/>
      <c r="B149" s="49"/>
      <c r="C149" s="49"/>
      <c r="K149" s="45"/>
      <c r="L149" s="49"/>
      <c r="M149" s="49"/>
      <c r="N149" s="45"/>
      <c r="O149" s="45"/>
      <c r="P149" s="45"/>
      <c r="Q149" s="45"/>
      <c r="R149" s="49"/>
      <c r="S149" s="45"/>
      <c r="T149" s="45"/>
      <c r="U149" s="609"/>
      <c r="V149" s="45"/>
      <c r="W149" s="45"/>
      <c r="X149" s="45"/>
      <c r="Y149" s="45"/>
      <c r="Z149" s="45"/>
      <c r="AA149" s="48"/>
      <c r="AB149" s="47"/>
      <c r="AC149" s="47"/>
      <c r="AD149" s="47"/>
      <c r="AE149" s="47"/>
      <c r="AF149" s="124" t="n">
        <v>11</v>
      </c>
    </row>
    <row r="150" s="124" customFormat="true" ht="11.25" hidden="false" customHeight="true" outlineLevel="0" collapsed="false">
      <c r="A150" s="608"/>
      <c r="B150" s="49"/>
      <c r="C150" s="49"/>
      <c r="K150" s="45"/>
      <c r="L150" s="49"/>
      <c r="M150" s="49"/>
      <c r="N150" s="45"/>
      <c r="O150" s="45"/>
      <c r="P150" s="45"/>
      <c r="Q150" s="45"/>
      <c r="R150" s="49"/>
      <c r="S150" s="45"/>
      <c r="T150" s="45"/>
      <c r="U150" s="609"/>
      <c r="V150" s="45"/>
      <c r="W150" s="45"/>
      <c r="X150" s="45"/>
      <c r="Y150" s="45"/>
      <c r="Z150" s="45"/>
      <c r="AA150" s="48"/>
      <c r="AB150" s="47"/>
      <c r="AC150" s="47"/>
      <c r="AD150" s="47"/>
      <c r="AE150" s="47"/>
      <c r="AF150" s="124" t="n">
        <v>11</v>
      </c>
    </row>
    <row r="151" s="124" customFormat="true" ht="11.25" hidden="false" customHeight="true" outlineLevel="0" collapsed="false">
      <c r="A151" s="608"/>
      <c r="B151" s="49"/>
      <c r="C151" s="49"/>
      <c r="K151" s="45"/>
      <c r="L151" s="49"/>
      <c r="M151" s="49"/>
      <c r="N151" s="45"/>
      <c r="O151" s="45"/>
      <c r="P151" s="45"/>
      <c r="Q151" s="45"/>
      <c r="R151" s="49"/>
      <c r="S151" s="45"/>
      <c r="T151" s="45"/>
      <c r="U151" s="609"/>
      <c r="V151" s="45"/>
      <c r="W151" s="45"/>
      <c r="X151" s="45"/>
      <c r="Y151" s="45"/>
      <c r="Z151" s="45"/>
      <c r="AA151" s="48"/>
      <c r="AB151" s="47"/>
      <c r="AC151" s="47"/>
      <c r="AD151" s="47"/>
      <c r="AE151" s="47"/>
      <c r="AF151" s="124" t="n">
        <v>11</v>
      </c>
    </row>
    <row r="152" s="124" customFormat="true" ht="11.25" hidden="false" customHeight="true" outlineLevel="0" collapsed="false">
      <c r="A152" s="608"/>
      <c r="B152" s="49"/>
      <c r="C152" s="49"/>
      <c r="K152" s="45"/>
      <c r="L152" s="49"/>
      <c r="M152" s="49"/>
      <c r="N152" s="45"/>
      <c r="O152" s="45"/>
      <c r="P152" s="45"/>
      <c r="Q152" s="45"/>
      <c r="R152" s="49"/>
      <c r="S152" s="45"/>
      <c r="T152" s="45"/>
      <c r="U152" s="609"/>
      <c r="V152" s="45"/>
      <c r="W152" s="45"/>
      <c r="X152" s="45"/>
      <c r="Y152" s="45"/>
      <c r="Z152" s="45"/>
      <c r="AA152" s="48"/>
      <c r="AB152" s="47"/>
      <c r="AC152" s="47"/>
      <c r="AD152" s="47"/>
      <c r="AE152" s="47"/>
      <c r="AF152" s="124" t="n">
        <v>11</v>
      </c>
    </row>
    <row r="153" s="124" customFormat="true" ht="11.25" hidden="false" customHeight="true" outlineLevel="0" collapsed="false">
      <c r="A153" s="608"/>
      <c r="B153" s="49"/>
      <c r="C153" s="49"/>
      <c r="K153" s="45"/>
      <c r="L153" s="49"/>
      <c r="M153" s="49"/>
      <c r="N153" s="45"/>
      <c r="O153" s="45"/>
      <c r="P153" s="45"/>
      <c r="Q153" s="45"/>
      <c r="R153" s="49"/>
      <c r="S153" s="45"/>
      <c r="T153" s="45"/>
      <c r="U153" s="609"/>
      <c r="V153" s="45"/>
      <c r="W153" s="45"/>
      <c r="X153" s="45"/>
      <c r="Y153" s="45"/>
      <c r="Z153" s="45"/>
      <c r="AA153" s="48"/>
      <c r="AB153" s="47"/>
      <c r="AC153" s="47"/>
      <c r="AD153" s="47"/>
      <c r="AE153" s="47"/>
      <c r="AF153" s="124" t="n">
        <v>11</v>
      </c>
    </row>
    <row r="154" s="124" customFormat="true" ht="11.25" hidden="false" customHeight="true" outlineLevel="0" collapsed="false">
      <c r="A154" s="608"/>
      <c r="B154" s="49"/>
      <c r="C154" s="49"/>
      <c r="K154" s="45"/>
      <c r="L154" s="49"/>
      <c r="M154" s="49"/>
      <c r="N154" s="45"/>
      <c r="O154" s="45"/>
      <c r="P154" s="45"/>
      <c r="Q154" s="45"/>
      <c r="R154" s="49"/>
      <c r="S154" s="45"/>
      <c r="T154" s="45"/>
      <c r="U154" s="609"/>
      <c r="V154" s="45"/>
      <c r="W154" s="45"/>
      <c r="X154" s="45"/>
      <c r="Y154" s="45"/>
      <c r="Z154" s="45"/>
      <c r="AA154" s="48"/>
      <c r="AB154" s="47"/>
      <c r="AC154" s="47"/>
      <c r="AD154" s="47"/>
      <c r="AE154" s="47"/>
      <c r="AF154" s="124" t="n">
        <v>11</v>
      </c>
    </row>
    <row r="155" s="124" customFormat="true" ht="11.25" hidden="false" customHeight="true" outlineLevel="0" collapsed="false">
      <c r="A155" s="608"/>
      <c r="B155" s="49"/>
      <c r="C155" s="49"/>
      <c r="K155" s="45"/>
      <c r="L155" s="49"/>
      <c r="M155" s="49"/>
      <c r="N155" s="45"/>
      <c r="O155" s="45"/>
      <c r="P155" s="45"/>
      <c r="Q155" s="45"/>
      <c r="R155" s="49"/>
      <c r="S155" s="45"/>
      <c r="T155" s="45"/>
      <c r="U155" s="609"/>
      <c r="V155" s="45"/>
      <c r="W155" s="45"/>
      <c r="X155" s="45"/>
      <c r="Y155" s="45"/>
      <c r="Z155" s="45"/>
      <c r="AA155" s="48"/>
      <c r="AB155" s="47"/>
      <c r="AC155" s="47"/>
      <c r="AD155" s="47"/>
      <c r="AE155" s="47"/>
      <c r="AF155" s="124" t="n">
        <v>11</v>
      </c>
    </row>
    <row r="156" s="124" customFormat="true" ht="11.25" hidden="false" customHeight="true" outlineLevel="0" collapsed="false">
      <c r="A156" s="608"/>
      <c r="B156" s="49"/>
      <c r="C156" s="49"/>
      <c r="K156" s="45"/>
      <c r="L156" s="49"/>
      <c r="M156" s="49"/>
      <c r="N156" s="45"/>
      <c r="O156" s="45"/>
      <c r="P156" s="45"/>
      <c r="Q156" s="45"/>
      <c r="R156" s="49"/>
      <c r="S156" s="45"/>
      <c r="T156" s="45"/>
      <c r="U156" s="609"/>
      <c r="V156" s="45"/>
      <c r="W156" s="45"/>
      <c r="X156" s="45"/>
      <c r="Y156" s="45"/>
      <c r="Z156" s="45"/>
      <c r="AA156" s="48"/>
      <c r="AB156" s="47"/>
      <c r="AC156" s="47"/>
      <c r="AD156" s="47"/>
      <c r="AE156" s="47"/>
      <c r="AF156" s="124" t="n">
        <v>11</v>
      </c>
    </row>
    <row r="157" s="124" customFormat="true" ht="11.25" hidden="false" customHeight="true" outlineLevel="0" collapsed="false">
      <c r="A157" s="608"/>
      <c r="B157" s="49"/>
      <c r="C157" s="49"/>
      <c r="K157" s="45"/>
      <c r="L157" s="49"/>
      <c r="M157" s="49"/>
      <c r="N157" s="45"/>
      <c r="O157" s="45"/>
      <c r="P157" s="45"/>
      <c r="Q157" s="45"/>
      <c r="R157" s="49"/>
      <c r="S157" s="45"/>
      <c r="T157" s="45"/>
      <c r="U157" s="609"/>
      <c r="V157" s="45"/>
      <c r="W157" s="45"/>
      <c r="X157" s="45"/>
      <c r="Y157" s="45"/>
      <c r="Z157" s="45"/>
      <c r="AA157" s="48"/>
      <c r="AB157" s="47"/>
      <c r="AC157" s="47"/>
      <c r="AD157" s="47"/>
      <c r="AE157" s="47"/>
      <c r="AF157" s="124" t="n">
        <v>11</v>
      </c>
    </row>
    <row r="158" s="124" customFormat="true" ht="11.25" hidden="false" customHeight="true" outlineLevel="0" collapsed="false">
      <c r="A158" s="608"/>
      <c r="B158" s="49"/>
      <c r="C158" s="49"/>
      <c r="K158" s="45"/>
      <c r="L158" s="49"/>
      <c r="M158" s="49"/>
      <c r="N158" s="45"/>
      <c r="O158" s="45"/>
      <c r="P158" s="45"/>
      <c r="Q158" s="45"/>
      <c r="R158" s="49"/>
      <c r="S158" s="45"/>
      <c r="T158" s="45"/>
      <c r="U158" s="609"/>
      <c r="V158" s="45"/>
      <c r="W158" s="45"/>
      <c r="X158" s="45"/>
      <c r="Y158" s="45"/>
      <c r="Z158" s="45"/>
      <c r="AA158" s="48"/>
      <c r="AB158" s="47"/>
      <c r="AC158" s="47"/>
      <c r="AD158" s="47"/>
      <c r="AE158" s="47"/>
      <c r="AF158" s="124" t="n">
        <v>11</v>
      </c>
    </row>
    <row r="159" s="124" customFormat="true" ht="11.25" hidden="false" customHeight="true" outlineLevel="0" collapsed="false">
      <c r="A159" s="608"/>
      <c r="B159" s="49"/>
      <c r="C159" s="49"/>
      <c r="K159" s="45"/>
      <c r="L159" s="49"/>
      <c r="M159" s="49"/>
      <c r="N159" s="45"/>
      <c r="O159" s="45"/>
      <c r="P159" s="45"/>
      <c r="Q159" s="45"/>
      <c r="R159" s="49"/>
      <c r="S159" s="45"/>
      <c r="T159" s="45"/>
      <c r="U159" s="609"/>
      <c r="V159" s="45"/>
      <c r="W159" s="45"/>
      <c r="X159" s="45"/>
      <c r="Y159" s="45"/>
      <c r="Z159" s="45"/>
      <c r="AA159" s="48"/>
      <c r="AB159" s="47"/>
      <c r="AC159" s="47"/>
      <c r="AD159" s="47"/>
      <c r="AE159" s="47"/>
      <c r="AF159" s="124" t="n">
        <v>11</v>
      </c>
    </row>
    <row r="160" s="124" customFormat="true" ht="11.25" hidden="false" customHeight="true" outlineLevel="0" collapsed="false">
      <c r="A160" s="608"/>
      <c r="B160" s="49"/>
      <c r="C160" s="49"/>
      <c r="K160" s="45"/>
      <c r="L160" s="49"/>
      <c r="M160" s="49"/>
      <c r="N160" s="45"/>
      <c r="O160" s="45"/>
      <c r="P160" s="45"/>
      <c r="Q160" s="45"/>
      <c r="R160" s="49"/>
      <c r="S160" s="45"/>
      <c r="T160" s="45"/>
      <c r="U160" s="609"/>
      <c r="V160" s="45"/>
      <c r="W160" s="45"/>
      <c r="X160" s="45"/>
      <c r="Y160" s="45"/>
      <c r="Z160" s="45"/>
      <c r="AA160" s="48"/>
      <c r="AB160" s="47"/>
      <c r="AC160" s="47"/>
      <c r="AD160" s="47"/>
      <c r="AE160" s="47"/>
      <c r="AF160" s="124" t="n">
        <v>11</v>
      </c>
    </row>
    <row r="161" s="124" customFormat="true" ht="11.25" hidden="false" customHeight="true" outlineLevel="0" collapsed="false">
      <c r="A161" s="608"/>
      <c r="B161" s="49"/>
      <c r="C161" s="49"/>
      <c r="K161" s="45"/>
      <c r="L161" s="49"/>
      <c r="M161" s="49"/>
      <c r="N161" s="45"/>
      <c r="O161" s="45"/>
      <c r="P161" s="45"/>
      <c r="Q161" s="45"/>
      <c r="R161" s="49"/>
      <c r="S161" s="45"/>
      <c r="T161" s="45"/>
      <c r="U161" s="609"/>
      <c r="V161" s="45"/>
      <c r="W161" s="45"/>
      <c r="X161" s="45"/>
      <c r="Y161" s="45"/>
      <c r="Z161" s="45"/>
      <c r="AA161" s="48"/>
      <c r="AB161" s="47"/>
      <c r="AC161" s="47"/>
      <c r="AD161" s="47"/>
      <c r="AE161" s="47"/>
      <c r="AF161" s="124" t="n">
        <v>11</v>
      </c>
    </row>
    <row r="162" s="124" customFormat="true" ht="11.25" hidden="false" customHeight="true" outlineLevel="0" collapsed="false">
      <c r="A162" s="608"/>
      <c r="B162" s="49"/>
      <c r="C162" s="49"/>
      <c r="K162" s="45"/>
      <c r="L162" s="49"/>
      <c r="M162" s="49"/>
      <c r="N162" s="45"/>
      <c r="O162" s="45"/>
      <c r="P162" s="45"/>
      <c r="Q162" s="45"/>
      <c r="R162" s="49"/>
      <c r="S162" s="45"/>
      <c r="T162" s="45"/>
      <c r="U162" s="609"/>
      <c r="V162" s="45"/>
      <c r="W162" s="45"/>
      <c r="X162" s="45"/>
      <c r="Y162" s="45"/>
      <c r="Z162" s="45"/>
      <c r="AA162" s="48"/>
      <c r="AB162" s="47"/>
      <c r="AC162" s="47"/>
      <c r="AD162" s="47"/>
      <c r="AE162" s="47"/>
      <c r="AF162" s="124" t="n">
        <v>11</v>
      </c>
    </row>
    <row r="163" s="124" customFormat="true" ht="11.25" hidden="false" customHeight="true" outlineLevel="0" collapsed="false">
      <c r="A163" s="608"/>
      <c r="B163" s="49"/>
      <c r="C163" s="49"/>
      <c r="K163" s="45"/>
      <c r="L163" s="49"/>
      <c r="M163" s="49"/>
      <c r="N163" s="45"/>
      <c r="O163" s="45"/>
      <c r="P163" s="45"/>
      <c r="Q163" s="45"/>
      <c r="R163" s="49"/>
      <c r="S163" s="45"/>
      <c r="T163" s="45"/>
      <c r="U163" s="609"/>
      <c r="V163" s="45"/>
      <c r="W163" s="45"/>
      <c r="X163" s="45"/>
      <c r="Y163" s="45"/>
      <c r="Z163" s="45"/>
      <c r="AA163" s="48"/>
      <c r="AB163" s="47"/>
      <c r="AC163" s="47"/>
      <c r="AD163" s="47"/>
      <c r="AE163" s="47"/>
      <c r="AF163" s="124" t="n">
        <v>11</v>
      </c>
    </row>
    <row r="164" s="124" customFormat="true" ht="11.25" hidden="false" customHeight="true" outlineLevel="0" collapsed="false">
      <c r="A164" s="608"/>
      <c r="B164" s="49"/>
      <c r="C164" s="49"/>
      <c r="K164" s="45"/>
      <c r="L164" s="49"/>
      <c r="M164" s="49"/>
      <c r="N164" s="45"/>
      <c r="O164" s="45"/>
      <c r="P164" s="45"/>
      <c r="Q164" s="45"/>
      <c r="R164" s="49"/>
      <c r="S164" s="45"/>
      <c r="T164" s="45"/>
      <c r="U164" s="609"/>
      <c r="V164" s="45"/>
      <c r="W164" s="45"/>
      <c r="X164" s="45"/>
      <c r="Y164" s="45"/>
      <c r="Z164" s="45"/>
      <c r="AA164" s="48"/>
      <c r="AB164" s="47"/>
      <c r="AC164" s="47"/>
      <c r="AD164" s="47"/>
      <c r="AE164" s="47"/>
      <c r="AF164" s="124" t="n">
        <v>11</v>
      </c>
    </row>
    <row r="165" s="124" customFormat="true" ht="11.25" hidden="false" customHeight="true" outlineLevel="0" collapsed="false">
      <c r="A165" s="608"/>
      <c r="B165" s="49"/>
      <c r="C165" s="49"/>
      <c r="K165" s="45"/>
      <c r="L165" s="49"/>
      <c r="M165" s="49"/>
      <c r="N165" s="45"/>
      <c r="O165" s="45"/>
      <c r="P165" s="45"/>
      <c r="Q165" s="45"/>
      <c r="R165" s="49"/>
      <c r="S165" s="45"/>
      <c r="T165" s="45"/>
      <c r="U165" s="609"/>
      <c r="V165" s="45"/>
      <c r="W165" s="45"/>
      <c r="X165" s="45"/>
      <c r="Y165" s="45"/>
      <c r="Z165" s="45"/>
      <c r="AA165" s="48"/>
      <c r="AB165" s="47"/>
      <c r="AC165" s="47"/>
      <c r="AD165" s="47"/>
      <c r="AE165" s="47"/>
      <c r="AF165" s="124" t="n">
        <v>11</v>
      </c>
    </row>
    <row r="166" s="124" customFormat="true" ht="11.25" hidden="false" customHeight="true" outlineLevel="0" collapsed="false">
      <c r="A166" s="608"/>
      <c r="B166" s="49"/>
      <c r="C166" s="49"/>
      <c r="K166" s="45"/>
      <c r="L166" s="49"/>
      <c r="M166" s="49"/>
      <c r="N166" s="45"/>
      <c r="O166" s="45"/>
      <c r="P166" s="45"/>
      <c r="Q166" s="45"/>
      <c r="R166" s="49"/>
      <c r="S166" s="45"/>
      <c r="T166" s="45"/>
      <c r="U166" s="609"/>
      <c r="V166" s="45"/>
      <c r="W166" s="45"/>
      <c r="X166" s="45"/>
      <c r="Y166" s="45"/>
      <c r="Z166" s="45"/>
      <c r="AA166" s="48"/>
      <c r="AB166" s="47"/>
      <c r="AC166" s="47"/>
      <c r="AD166" s="47"/>
      <c r="AE166" s="47"/>
      <c r="AF166" s="124" t="n">
        <v>11</v>
      </c>
    </row>
    <row r="167" s="124" customFormat="true" ht="11.25" hidden="false" customHeight="true" outlineLevel="0" collapsed="false">
      <c r="A167" s="608"/>
      <c r="B167" s="49"/>
      <c r="C167" s="49"/>
      <c r="K167" s="45"/>
      <c r="L167" s="49"/>
      <c r="M167" s="49"/>
      <c r="N167" s="45"/>
      <c r="O167" s="45"/>
      <c r="P167" s="45"/>
      <c r="Q167" s="45"/>
      <c r="R167" s="49"/>
      <c r="S167" s="45"/>
      <c r="T167" s="45"/>
      <c r="U167" s="609"/>
      <c r="V167" s="45"/>
      <c r="W167" s="45"/>
      <c r="X167" s="45"/>
      <c r="Y167" s="45"/>
      <c r="Z167" s="45"/>
      <c r="AA167" s="48"/>
      <c r="AB167" s="47"/>
      <c r="AC167" s="47"/>
      <c r="AD167" s="47"/>
      <c r="AE167" s="47"/>
      <c r="AF167" s="124" t="n">
        <v>11</v>
      </c>
    </row>
    <row r="168" s="124" customFormat="true" ht="11.25" hidden="false" customHeight="true" outlineLevel="0" collapsed="false">
      <c r="A168" s="608"/>
      <c r="B168" s="49"/>
      <c r="C168" s="49"/>
      <c r="K168" s="45"/>
      <c r="L168" s="49"/>
      <c r="M168" s="49"/>
      <c r="N168" s="45"/>
      <c r="O168" s="45"/>
      <c r="P168" s="45"/>
      <c r="Q168" s="45"/>
      <c r="R168" s="49"/>
      <c r="S168" s="45"/>
      <c r="T168" s="45"/>
      <c r="U168" s="609"/>
      <c r="V168" s="45"/>
      <c r="W168" s="45"/>
      <c r="X168" s="45"/>
      <c r="Y168" s="45"/>
      <c r="Z168" s="45"/>
      <c r="AA168" s="48"/>
      <c r="AB168" s="47"/>
      <c r="AC168" s="47"/>
      <c r="AD168" s="47"/>
      <c r="AE168" s="47"/>
      <c r="AF168" s="124" t="n">
        <v>11</v>
      </c>
    </row>
    <row r="169" s="124" customFormat="true" ht="11.25" hidden="false" customHeight="true" outlineLevel="0" collapsed="false">
      <c r="A169" s="608"/>
      <c r="B169" s="49"/>
      <c r="C169" s="49"/>
      <c r="K169" s="45"/>
      <c r="L169" s="49"/>
      <c r="M169" s="49"/>
      <c r="N169" s="45"/>
      <c r="O169" s="45"/>
      <c r="P169" s="45"/>
      <c r="Q169" s="45"/>
      <c r="R169" s="49"/>
      <c r="S169" s="45"/>
      <c r="T169" s="45"/>
      <c r="U169" s="609"/>
      <c r="V169" s="45"/>
      <c r="W169" s="45"/>
      <c r="X169" s="45"/>
      <c r="Y169" s="45"/>
      <c r="Z169" s="45"/>
      <c r="AA169" s="48"/>
      <c r="AB169" s="47"/>
      <c r="AC169" s="47"/>
      <c r="AD169" s="47"/>
      <c r="AE169" s="47"/>
      <c r="AF169" s="124" t="n">
        <v>11</v>
      </c>
    </row>
    <row r="170" s="124" customFormat="true" ht="11.25" hidden="false" customHeight="true" outlineLevel="0" collapsed="false">
      <c r="A170" s="608"/>
      <c r="B170" s="49"/>
      <c r="C170" s="49"/>
      <c r="K170" s="45"/>
      <c r="L170" s="49"/>
      <c r="M170" s="49"/>
      <c r="N170" s="45"/>
      <c r="O170" s="45"/>
      <c r="P170" s="45"/>
      <c r="Q170" s="45"/>
      <c r="R170" s="49"/>
      <c r="S170" s="45"/>
      <c r="T170" s="45"/>
      <c r="U170" s="609"/>
      <c r="V170" s="45"/>
      <c r="W170" s="45"/>
      <c r="X170" s="45"/>
      <c r="Y170" s="45"/>
      <c r="Z170" s="45"/>
      <c r="AA170" s="48"/>
      <c r="AB170" s="47"/>
      <c r="AC170" s="47"/>
      <c r="AD170" s="47"/>
      <c r="AE170" s="47"/>
      <c r="AF170" s="124" t="n">
        <v>11</v>
      </c>
    </row>
    <row r="171" s="124" customFormat="true" ht="11.25" hidden="false" customHeight="true" outlineLevel="0" collapsed="false">
      <c r="A171" s="608"/>
      <c r="B171" s="49"/>
      <c r="C171" s="49"/>
      <c r="K171" s="45"/>
      <c r="L171" s="49"/>
      <c r="M171" s="49"/>
      <c r="N171" s="45"/>
      <c r="O171" s="45"/>
      <c r="P171" s="45"/>
      <c r="Q171" s="45"/>
      <c r="R171" s="49"/>
      <c r="S171" s="45"/>
      <c r="T171" s="45"/>
      <c r="U171" s="609"/>
      <c r="V171" s="45"/>
      <c r="W171" s="45"/>
      <c r="X171" s="45"/>
      <c r="Y171" s="45"/>
      <c r="Z171" s="45"/>
      <c r="AA171" s="48"/>
      <c r="AB171" s="47"/>
      <c r="AC171" s="47"/>
      <c r="AD171" s="47"/>
      <c r="AE171" s="47"/>
      <c r="AF171" s="124" t="n">
        <v>11</v>
      </c>
    </row>
    <row r="172" s="124" customFormat="true" ht="11.25" hidden="false" customHeight="true" outlineLevel="0" collapsed="false">
      <c r="A172" s="608"/>
      <c r="B172" s="49"/>
      <c r="C172" s="49"/>
      <c r="K172" s="45"/>
      <c r="L172" s="49"/>
      <c r="M172" s="49"/>
      <c r="N172" s="45"/>
      <c r="O172" s="45"/>
      <c r="P172" s="45"/>
      <c r="Q172" s="45"/>
      <c r="R172" s="49"/>
      <c r="S172" s="45"/>
      <c r="T172" s="45"/>
      <c r="U172" s="609"/>
      <c r="V172" s="45"/>
      <c r="W172" s="45"/>
      <c r="X172" s="45"/>
      <c r="Y172" s="45"/>
      <c r="Z172" s="45"/>
      <c r="AA172" s="48"/>
      <c r="AB172" s="47"/>
      <c r="AC172" s="47"/>
      <c r="AD172" s="47"/>
      <c r="AE172" s="47"/>
      <c r="AF172" s="124" t="n">
        <v>11</v>
      </c>
    </row>
    <row r="173" s="124" customFormat="true" ht="11.25" hidden="false" customHeight="true" outlineLevel="0" collapsed="false">
      <c r="A173" s="608"/>
      <c r="B173" s="49"/>
      <c r="C173" s="49"/>
      <c r="K173" s="45"/>
      <c r="L173" s="49"/>
      <c r="M173" s="49"/>
      <c r="N173" s="45"/>
      <c r="O173" s="45"/>
      <c r="P173" s="45"/>
      <c r="Q173" s="45"/>
      <c r="R173" s="49"/>
      <c r="S173" s="45"/>
      <c r="T173" s="45"/>
      <c r="U173" s="609"/>
      <c r="V173" s="45"/>
      <c r="W173" s="45"/>
      <c r="X173" s="45"/>
      <c r="Y173" s="45"/>
      <c r="Z173" s="45"/>
      <c r="AA173" s="48"/>
      <c r="AB173" s="47"/>
      <c r="AC173" s="47"/>
      <c r="AD173" s="47"/>
      <c r="AE173" s="47"/>
      <c r="AF173" s="124" t="n">
        <v>11</v>
      </c>
    </row>
    <row r="174" s="124" customFormat="true" ht="11.25" hidden="false" customHeight="true" outlineLevel="0" collapsed="false">
      <c r="A174" s="608"/>
      <c r="B174" s="49"/>
      <c r="C174" s="49"/>
      <c r="K174" s="45"/>
      <c r="L174" s="49"/>
      <c r="M174" s="49"/>
      <c r="N174" s="45"/>
      <c r="O174" s="45"/>
      <c r="P174" s="45"/>
      <c r="Q174" s="45"/>
      <c r="R174" s="49"/>
      <c r="S174" s="45"/>
      <c r="T174" s="45"/>
      <c r="U174" s="609"/>
      <c r="V174" s="45"/>
      <c r="W174" s="45"/>
      <c r="X174" s="45"/>
      <c r="Y174" s="45"/>
      <c r="Z174" s="45"/>
      <c r="AA174" s="48"/>
      <c r="AB174" s="47"/>
      <c r="AC174" s="47"/>
      <c r="AD174" s="47"/>
      <c r="AE174" s="47"/>
      <c r="AF174" s="124" t="n">
        <v>11</v>
      </c>
    </row>
    <row r="175" s="124" customFormat="true" ht="11.25" hidden="false" customHeight="true" outlineLevel="0" collapsed="false">
      <c r="A175" s="608"/>
      <c r="B175" s="49"/>
      <c r="C175" s="49"/>
      <c r="K175" s="45"/>
      <c r="L175" s="49"/>
      <c r="M175" s="49"/>
      <c r="N175" s="45"/>
      <c r="O175" s="45"/>
      <c r="P175" s="45"/>
      <c r="Q175" s="45"/>
      <c r="R175" s="49"/>
      <c r="S175" s="45"/>
      <c r="T175" s="45"/>
      <c r="U175" s="609"/>
      <c r="V175" s="45"/>
      <c r="W175" s="45"/>
      <c r="X175" s="45"/>
      <c r="Y175" s="45"/>
      <c r="Z175" s="45"/>
      <c r="AA175" s="48"/>
      <c r="AB175" s="47"/>
      <c r="AC175" s="47"/>
      <c r="AD175" s="47"/>
      <c r="AE175" s="47"/>
      <c r="AF175" s="124" t="n">
        <v>11</v>
      </c>
    </row>
    <row r="176" s="124" customFormat="true" ht="11.25" hidden="false" customHeight="true" outlineLevel="0" collapsed="false">
      <c r="A176" s="608"/>
      <c r="B176" s="49"/>
      <c r="C176" s="49"/>
      <c r="K176" s="45"/>
      <c r="L176" s="49"/>
      <c r="M176" s="49"/>
      <c r="N176" s="45"/>
      <c r="O176" s="45"/>
      <c r="P176" s="45"/>
      <c r="Q176" s="45"/>
      <c r="R176" s="49"/>
      <c r="S176" s="45"/>
      <c r="T176" s="45"/>
      <c r="U176" s="609"/>
      <c r="V176" s="45"/>
      <c r="W176" s="45"/>
      <c r="X176" s="45"/>
      <c r="Y176" s="45"/>
      <c r="Z176" s="45"/>
      <c r="AA176" s="48"/>
      <c r="AB176" s="47"/>
      <c r="AC176" s="47"/>
      <c r="AD176" s="47"/>
      <c r="AE176" s="47"/>
      <c r="AF176" s="124" t="n">
        <v>11</v>
      </c>
    </row>
    <row r="177" s="124" customFormat="true" ht="11.25" hidden="false" customHeight="true" outlineLevel="0" collapsed="false">
      <c r="A177" s="608"/>
      <c r="B177" s="49"/>
      <c r="C177" s="49"/>
      <c r="K177" s="45"/>
      <c r="L177" s="49"/>
      <c r="M177" s="49"/>
      <c r="N177" s="45"/>
      <c r="O177" s="45"/>
      <c r="P177" s="45"/>
      <c r="Q177" s="45"/>
      <c r="R177" s="49"/>
      <c r="S177" s="45"/>
      <c r="T177" s="45"/>
      <c r="U177" s="609"/>
      <c r="V177" s="45"/>
      <c r="W177" s="45"/>
      <c r="X177" s="45"/>
      <c r="Y177" s="45"/>
      <c r="Z177" s="45"/>
      <c r="AA177" s="48"/>
      <c r="AB177" s="47"/>
      <c r="AC177" s="47"/>
      <c r="AD177" s="47"/>
      <c r="AE177" s="47"/>
      <c r="AF177" s="124" t="n">
        <v>11</v>
      </c>
    </row>
    <row r="178" s="124" customFormat="true" ht="11.25" hidden="false" customHeight="true" outlineLevel="0" collapsed="false">
      <c r="A178" s="608"/>
      <c r="B178" s="49"/>
      <c r="C178" s="49"/>
      <c r="K178" s="45"/>
      <c r="L178" s="49"/>
      <c r="M178" s="49"/>
      <c r="N178" s="45"/>
      <c r="O178" s="45"/>
      <c r="P178" s="45"/>
      <c r="Q178" s="45"/>
      <c r="R178" s="49"/>
      <c r="S178" s="45"/>
      <c r="T178" s="45"/>
      <c r="U178" s="609"/>
      <c r="V178" s="45"/>
      <c r="W178" s="45"/>
      <c r="X178" s="45"/>
      <c r="Y178" s="45"/>
      <c r="Z178" s="45"/>
      <c r="AA178" s="48"/>
      <c r="AB178" s="47"/>
      <c r="AC178" s="47"/>
      <c r="AD178" s="47"/>
      <c r="AE178" s="47"/>
      <c r="AF178" s="124" t="n">
        <v>11</v>
      </c>
    </row>
    <row r="179" s="124" customFormat="true" ht="11.25" hidden="false" customHeight="true" outlineLevel="0" collapsed="false">
      <c r="A179" s="608"/>
      <c r="B179" s="49"/>
      <c r="C179" s="49"/>
      <c r="K179" s="45"/>
      <c r="L179" s="49"/>
      <c r="M179" s="49"/>
      <c r="N179" s="45"/>
      <c r="O179" s="45"/>
      <c r="P179" s="45"/>
      <c r="Q179" s="45"/>
      <c r="R179" s="49"/>
      <c r="S179" s="45"/>
      <c r="T179" s="45"/>
      <c r="U179" s="609"/>
      <c r="V179" s="45"/>
      <c r="W179" s="45"/>
      <c r="X179" s="45"/>
      <c r="Y179" s="45"/>
      <c r="Z179" s="45"/>
      <c r="AA179" s="48"/>
      <c r="AB179" s="47"/>
      <c r="AC179" s="47"/>
      <c r="AD179" s="47"/>
      <c r="AE179" s="47"/>
      <c r="AF179" s="124" t="n">
        <v>11</v>
      </c>
    </row>
    <row r="180" s="124" customFormat="true" ht="11.25" hidden="false" customHeight="true" outlineLevel="0" collapsed="false">
      <c r="A180" s="608"/>
      <c r="B180" s="49"/>
      <c r="C180" s="49"/>
      <c r="K180" s="45"/>
      <c r="L180" s="49"/>
      <c r="M180" s="49"/>
      <c r="N180" s="45"/>
      <c r="O180" s="45"/>
      <c r="P180" s="45"/>
      <c r="Q180" s="45"/>
      <c r="R180" s="49"/>
      <c r="S180" s="45"/>
      <c r="T180" s="45"/>
      <c r="U180" s="609"/>
      <c r="V180" s="45"/>
      <c r="W180" s="45"/>
      <c r="X180" s="45"/>
      <c r="Y180" s="45"/>
      <c r="Z180" s="45"/>
      <c r="AA180" s="48"/>
      <c r="AB180" s="47"/>
      <c r="AC180" s="47"/>
      <c r="AD180" s="47"/>
      <c r="AE180" s="47"/>
      <c r="AF180" s="124" t="n">
        <v>11</v>
      </c>
    </row>
    <row r="181" s="124" customFormat="true" ht="11.25" hidden="false" customHeight="true" outlineLevel="0" collapsed="false">
      <c r="A181" s="608"/>
      <c r="B181" s="49"/>
      <c r="C181" s="49"/>
      <c r="K181" s="45"/>
      <c r="L181" s="49"/>
      <c r="M181" s="49"/>
      <c r="N181" s="45"/>
      <c r="O181" s="45"/>
      <c r="P181" s="45"/>
      <c r="Q181" s="45"/>
      <c r="R181" s="49"/>
      <c r="S181" s="45"/>
      <c r="T181" s="45"/>
      <c r="U181" s="609"/>
      <c r="V181" s="45"/>
      <c r="W181" s="45"/>
      <c r="X181" s="45"/>
      <c r="Y181" s="45"/>
      <c r="Z181" s="45"/>
      <c r="AA181" s="48"/>
      <c r="AB181" s="47"/>
      <c r="AC181" s="47"/>
      <c r="AD181" s="47"/>
      <c r="AE181" s="47"/>
      <c r="AF181" s="124" t="n">
        <v>11</v>
      </c>
    </row>
    <row r="182" s="124" customFormat="true" ht="11.25" hidden="false" customHeight="true" outlineLevel="0" collapsed="false">
      <c r="A182" s="608"/>
      <c r="B182" s="49"/>
      <c r="C182" s="49"/>
      <c r="K182" s="45"/>
      <c r="L182" s="49"/>
      <c r="M182" s="49"/>
      <c r="N182" s="45"/>
      <c r="O182" s="45"/>
      <c r="P182" s="45"/>
      <c r="Q182" s="45"/>
      <c r="R182" s="49"/>
      <c r="S182" s="45"/>
      <c r="T182" s="45"/>
      <c r="U182" s="609"/>
      <c r="V182" s="45"/>
      <c r="W182" s="45"/>
      <c r="X182" s="45"/>
      <c r="Y182" s="45"/>
      <c r="Z182" s="45"/>
      <c r="AA182" s="48"/>
      <c r="AB182" s="47"/>
      <c r="AC182" s="47"/>
      <c r="AD182" s="47"/>
      <c r="AE182" s="47"/>
      <c r="AF182" s="124" t="n">
        <v>11</v>
      </c>
    </row>
    <row r="183" s="124" customFormat="true" ht="11.25" hidden="false" customHeight="true" outlineLevel="0" collapsed="false">
      <c r="A183" s="608"/>
      <c r="B183" s="49"/>
      <c r="C183" s="49"/>
      <c r="K183" s="45"/>
      <c r="L183" s="49"/>
      <c r="M183" s="49"/>
      <c r="N183" s="45"/>
      <c r="O183" s="45"/>
      <c r="P183" s="45"/>
      <c r="Q183" s="45"/>
      <c r="R183" s="49"/>
      <c r="S183" s="45"/>
      <c r="T183" s="45"/>
      <c r="U183" s="609"/>
      <c r="V183" s="45"/>
      <c r="W183" s="45"/>
      <c r="X183" s="45"/>
      <c r="Y183" s="45"/>
      <c r="Z183" s="45"/>
      <c r="AA183" s="48"/>
      <c r="AB183" s="47"/>
      <c r="AC183" s="47"/>
      <c r="AD183" s="47"/>
      <c r="AE183" s="47"/>
      <c r="AF183" s="124" t="n">
        <v>11</v>
      </c>
    </row>
    <row r="184" s="124" customFormat="true" ht="11.25" hidden="false" customHeight="true" outlineLevel="0" collapsed="false">
      <c r="A184" s="608"/>
      <c r="B184" s="49"/>
      <c r="C184" s="49"/>
      <c r="K184" s="45"/>
      <c r="L184" s="49"/>
      <c r="M184" s="49"/>
      <c r="N184" s="45"/>
      <c r="O184" s="45"/>
      <c r="P184" s="45"/>
      <c r="Q184" s="45"/>
      <c r="R184" s="49"/>
      <c r="S184" s="45"/>
      <c r="T184" s="45"/>
      <c r="U184" s="609"/>
      <c r="V184" s="45"/>
      <c r="W184" s="45"/>
      <c r="X184" s="45"/>
      <c r="Y184" s="45"/>
      <c r="Z184" s="45"/>
      <c r="AA184" s="48"/>
      <c r="AB184" s="47"/>
      <c r="AC184" s="47"/>
      <c r="AD184" s="47"/>
      <c r="AE184" s="47"/>
      <c r="AF184" s="124" t="n">
        <v>11</v>
      </c>
    </row>
    <row r="185" s="124" customFormat="true" ht="11.25" hidden="false" customHeight="true" outlineLevel="0" collapsed="false">
      <c r="A185" s="608"/>
      <c r="B185" s="49"/>
      <c r="C185" s="49"/>
      <c r="K185" s="45"/>
      <c r="L185" s="49"/>
      <c r="M185" s="49"/>
      <c r="N185" s="45"/>
      <c r="O185" s="45"/>
      <c r="P185" s="45"/>
      <c r="Q185" s="45"/>
      <c r="R185" s="49"/>
      <c r="S185" s="45"/>
      <c r="T185" s="45"/>
      <c r="U185" s="609"/>
      <c r="V185" s="45"/>
      <c r="W185" s="45"/>
      <c r="X185" s="45"/>
      <c r="Y185" s="45"/>
      <c r="Z185" s="45"/>
      <c r="AA185" s="48"/>
      <c r="AB185" s="47"/>
      <c r="AC185" s="47"/>
      <c r="AD185" s="47"/>
      <c r="AE185" s="47"/>
      <c r="AF185" s="124" t="n">
        <v>11</v>
      </c>
    </row>
    <row r="186" s="124" customFormat="true" ht="11.25" hidden="false" customHeight="true" outlineLevel="0" collapsed="false">
      <c r="A186" s="608"/>
      <c r="B186" s="49"/>
      <c r="C186" s="49"/>
      <c r="K186" s="45"/>
      <c r="L186" s="49"/>
      <c r="M186" s="49"/>
      <c r="N186" s="45"/>
      <c r="O186" s="45"/>
      <c r="P186" s="45"/>
      <c r="Q186" s="45"/>
      <c r="R186" s="49"/>
      <c r="S186" s="45"/>
      <c r="T186" s="45"/>
      <c r="U186" s="609"/>
      <c r="V186" s="45"/>
      <c r="W186" s="45"/>
      <c r="X186" s="45"/>
      <c r="Y186" s="45"/>
      <c r="Z186" s="45"/>
      <c r="AA186" s="48"/>
      <c r="AB186" s="47"/>
      <c r="AC186" s="47"/>
      <c r="AD186" s="47"/>
      <c r="AE186" s="47"/>
      <c r="AF186" s="124" t="n">
        <v>11</v>
      </c>
    </row>
    <row r="187" s="124" customFormat="true" ht="11.25" hidden="false" customHeight="true" outlineLevel="0" collapsed="false">
      <c r="A187" s="608"/>
      <c r="B187" s="49"/>
      <c r="C187" s="49"/>
      <c r="K187" s="45"/>
      <c r="L187" s="49"/>
      <c r="M187" s="49"/>
      <c r="N187" s="45"/>
      <c r="O187" s="45"/>
      <c r="P187" s="45"/>
      <c r="Q187" s="45"/>
      <c r="R187" s="49"/>
      <c r="S187" s="45"/>
      <c r="T187" s="45"/>
      <c r="U187" s="609"/>
      <c r="V187" s="45"/>
      <c r="W187" s="45"/>
      <c r="X187" s="45"/>
      <c r="Y187" s="45"/>
      <c r="Z187" s="45"/>
      <c r="AA187" s="48"/>
      <c r="AB187" s="47"/>
      <c r="AC187" s="47"/>
      <c r="AD187" s="47"/>
      <c r="AE187" s="47"/>
      <c r="AF187" s="124" t="n">
        <v>11</v>
      </c>
    </row>
    <row r="188" s="124" customFormat="true" ht="11.25" hidden="false" customHeight="true" outlineLevel="0" collapsed="false">
      <c r="A188" s="608"/>
      <c r="B188" s="49"/>
      <c r="C188" s="49"/>
      <c r="K188" s="45"/>
      <c r="L188" s="49"/>
      <c r="M188" s="49"/>
      <c r="N188" s="45"/>
      <c r="O188" s="45"/>
      <c r="P188" s="45"/>
      <c r="Q188" s="45"/>
      <c r="R188" s="49"/>
      <c r="S188" s="45"/>
      <c r="T188" s="45"/>
      <c r="U188" s="609"/>
      <c r="V188" s="45"/>
      <c r="W188" s="45"/>
      <c r="X188" s="45"/>
      <c r="Y188" s="45"/>
      <c r="Z188" s="45"/>
      <c r="AA188" s="48"/>
      <c r="AB188" s="47"/>
      <c r="AC188" s="47"/>
      <c r="AD188" s="47"/>
      <c r="AE188" s="47"/>
      <c r="AF188" s="124" t="n">
        <v>11</v>
      </c>
    </row>
    <row r="189" s="124" customFormat="true" ht="11.25" hidden="false" customHeight="true" outlineLevel="0" collapsed="false">
      <c r="A189" s="608"/>
      <c r="B189" s="49"/>
      <c r="C189" s="49"/>
      <c r="K189" s="45"/>
      <c r="L189" s="49"/>
      <c r="M189" s="49"/>
      <c r="N189" s="45"/>
      <c r="O189" s="45"/>
      <c r="P189" s="45"/>
      <c r="Q189" s="45"/>
      <c r="R189" s="49"/>
      <c r="S189" s="45"/>
      <c r="T189" s="45"/>
      <c r="U189" s="609"/>
      <c r="V189" s="45"/>
      <c r="W189" s="45"/>
      <c r="X189" s="45"/>
      <c r="Y189" s="45"/>
      <c r="Z189" s="45"/>
      <c r="AA189" s="48"/>
      <c r="AB189" s="47"/>
      <c r="AC189" s="47"/>
      <c r="AD189" s="47"/>
      <c r="AE189" s="47"/>
      <c r="AF189" s="124" t="n">
        <v>11</v>
      </c>
    </row>
    <row r="190" s="124" customFormat="true" ht="11.25" hidden="false" customHeight="true" outlineLevel="0" collapsed="false">
      <c r="A190" s="608"/>
      <c r="B190" s="49"/>
      <c r="C190" s="49"/>
      <c r="K190" s="45"/>
      <c r="L190" s="49"/>
      <c r="M190" s="49"/>
      <c r="N190" s="45"/>
      <c r="O190" s="45"/>
      <c r="P190" s="45"/>
      <c r="Q190" s="45"/>
      <c r="R190" s="49"/>
      <c r="S190" s="45"/>
      <c r="T190" s="45"/>
      <c r="U190" s="609"/>
      <c r="V190" s="45"/>
      <c r="W190" s="45"/>
      <c r="X190" s="45"/>
      <c r="Y190" s="45"/>
      <c r="Z190" s="45"/>
      <c r="AA190" s="48"/>
      <c r="AB190" s="47"/>
      <c r="AC190" s="47"/>
      <c r="AD190" s="47"/>
      <c r="AE190" s="47"/>
      <c r="AF190" s="124" t="n">
        <v>11</v>
      </c>
    </row>
    <row r="191" s="124" customFormat="true" ht="11.25" hidden="false" customHeight="true" outlineLevel="0" collapsed="false">
      <c r="A191" s="608"/>
      <c r="B191" s="49"/>
      <c r="C191" s="49"/>
      <c r="K191" s="45"/>
      <c r="L191" s="49"/>
      <c r="M191" s="49"/>
      <c r="N191" s="45"/>
      <c r="O191" s="45"/>
      <c r="P191" s="45"/>
      <c r="Q191" s="45"/>
      <c r="R191" s="49"/>
      <c r="S191" s="45"/>
      <c r="T191" s="45"/>
      <c r="U191" s="609"/>
      <c r="V191" s="45"/>
      <c r="W191" s="45"/>
      <c r="X191" s="45"/>
      <c r="Y191" s="45"/>
      <c r="Z191" s="45"/>
      <c r="AA191" s="48"/>
      <c r="AB191" s="47"/>
      <c r="AC191" s="47"/>
      <c r="AD191" s="47"/>
      <c r="AE191" s="47"/>
      <c r="AF191" s="124" t="n">
        <v>11</v>
      </c>
    </row>
    <row r="192" s="124" customFormat="true" ht="11.25" hidden="false" customHeight="true" outlineLevel="0" collapsed="false">
      <c r="A192" s="608"/>
      <c r="B192" s="49"/>
      <c r="C192" s="49"/>
      <c r="K192" s="45"/>
      <c r="L192" s="49"/>
      <c r="M192" s="49"/>
      <c r="N192" s="45"/>
      <c r="O192" s="45"/>
      <c r="P192" s="45"/>
      <c r="Q192" s="45"/>
      <c r="R192" s="49"/>
      <c r="S192" s="45"/>
      <c r="T192" s="45"/>
      <c r="U192" s="609"/>
      <c r="V192" s="45"/>
      <c r="W192" s="45"/>
      <c r="X192" s="45"/>
      <c r="Y192" s="45"/>
      <c r="Z192" s="45"/>
      <c r="AA192" s="48"/>
      <c r="AB192" s="47"/>
      <c r="AC192" s="47"/>
      <c r="AD192" s="47"/>
      <c r="AE192" s="47"/>
      <c r="AF192" s="124" t="n">
        <v>11</v>
      </c>
    </row>
    <row r="193" s="124" customFormat="true" ht="11.25" hidden="false" customHeight="true" outlineLevel="0" collapsed="false">
      <c r="A193" s="608"/>
      <c r="B193" s="49"/>
      <c r="C193" s="49"/>
      <c r="K193" s="45"/>
      <c r="L193" s="49"/>
      <c r="M193" s="49"/>
      <c r="N193" s="45"/>
      <c r="O193" s="45"/>
      <c r="P193" s="45"/>
      <c r="Q193" s="45"/>
      <c r="R193" s="49"/>
      <c r="S193" s="45"/>
      <c r="T193" s="45"/>
      <c r="U193" s="609"/>
      <c r="V193" s="45"/>
      <c r="W193" s="45"/>
      <c r="X193" s="45"/>
      <c r="Y193" s="45"/>
      <c r="Z193" s="45"/>
      <c r="AA193" s="48"/>
      <c r="AB193" s="47"/>
      <c r="AC193" s="47"/>
      <c r="AD193" s="47"/>
      <c r="AE193" s="47"/>
      <c r="AF193" s="124" t="n">
        <v>11</v>
      </c>
    </row>
    <row r="194" s="124" customFormat="true" ht="11.25" hidden="false" customHeight="true" outlineLevel="0" collapsed="false">
      <c r="A194" s="608"/>
      <c r="B194" s="49"/>
      <c r="C194" s="49"/>
      <c r="K194" s="45"/>
      <c r="L194" s="49"/>
      <c r="M194" s="49"/>
      <c r="N194" s="45"/>
      <c r="O194" s="45"/>
      <c r="P194" s="45"/>
      <c r="Q194" s="45"/>
      <c r="R194" s="49"/>
      <c r="S194" s="45"/>
      <c r="T194" s="45"/>
      <c r="U194" s="609"/>
      <c r="V194" s="45"/>
      <c r="W194" s="45"/>
      <c r="X194" s="45"/>
      <c r="Y194" s="45"/>
      <c r="Z194" s="45"/>
      <c r="AA194" s="48"/>
      <c r="AB194" s="47"/>
      <c r="AC194" s="47"/>
      <c r="AD194" s="47"/>
      <c r="AE194" s="47"/>
      <c r="AF194" s="124" t="n">
        <v>11</v>
      </c>
    </row>
    <row r="195" s="124" customFormat="true" ht="11.25" hidden="false" customHeight="true" outlineLevel="0" collapsed="false">
      <c r="A195" s="608"/>
      <c r="B195" s="49"/>
      <c r="C195" s="49"/>
      <c r="K195" s="45"/>
      <c r="L195" s="49"/>
      <c r="M195" s="49"/>
      <c r="N195" s="45"/>
      <c r="O195" s="45"/>
      <c r="P195" s="45"/>
      <c r="Q195" s="45"/>
      <c r="R195" s="49"/>
      <c r="S195" s="45"/>
      <c r="T195" s="45"/>
      <c r="U195" s="609"/>
      <c r="V195" s="45"/>
      <c r="W195" s="45"/>
      <c r="X195" s="45"/>
      <c r="Y195" s="45"/>
      <c r="Z195" s="45"/>
      <c r="AA195" s="48"/>
      <c r="AB195" s="47"/>
      <c r="AC195" s="47"/>
      <c r="AD195" s="47"/>
      <c r="AE195" s="47"/>
      <c r="AF195" s="124" t="n">
        <v>11</v>
      </c>
    </row>
    <row r="196" customFormat="false" ht="11.25" hidden="false" customHeight="true" outlineLevel="0" collapsed="false">
      <c r="AF196" s="42" t="n">
        <v>11</v>
      </c>
    </row>
    <row r="197" customFormat="false" ht="11.25" hidden="false" customHeight="true" outlineLevel="0" collapsed="false">
      <c r="AF197" s="42" t="n">
        <v>11</v>
      </c>
    </row>
    <row r="198" customFormat="false" ht="11.25" hidden="false" customHeight="true" outlineLevel="0" collapsed="false">
      <c r="AF198" s="42" t="n">
        <v>11</v>
      </c>
    </row>
    <row r="199" customFormat="false" ht="11.25" hidden="false" customHeight="true" outlineLevel="0" collapsed="false">
      <c r="A199" s="679"/>
      <c r="B199" s="42"/>
      <c r="K199" s="42"/>
      <c r="N199" s="42"/>
      <c r="O199" s="42"/>
      <c r="P199" s="42"/>
      <c r="Q199" s="42"/>
      <c r="S199" s="42"/>
      <c r="T199" s="42"/>
      <c r="U199" s="42"/>
      <c r="V199" s="42"/>
      <c r="W199" s="42"/>
      <c r="X199" s="42"/>
      <c r="Y199" s="42"/>
      <c r="Z199" s="42"/>
      <c r="AA199" s="42"/>
      <c r="AB199" s="42"/>
      <c r="AC199" s="42"/>
      <c r="AD199" s="42"/>
      <c r="AE199" s="42"/>
      <c r="AF199" s="42" t="n">
        <v>11</v>
      </c>
    </row>
    <row r="200" customFormat="false" ht="11.25" hidden="false" customHeight="true" outlineLevel="0" collapsed="false">
      <c r="A200" s="679"/>
      <c r="B200" s="42"/>
      <c r="K200" s="42"/>
      <c r="N200" s="42"/>
      <c r="O200" s="42"/>
      <c r="P200" s="42"/>
      <c r="Q200" s="42"/>
      <c r="S200" s="42"/>
      <c r="T200" s="42"/>
      <c r="U200" s="42"/>
      <c r="V200" s="42"/>
      <c r="W200" s="42"/>
      <c r="X200" s="42"/>
      <c r="Y200" s="42"/>
      <c r="Z200" s="42"/>
      <c r="AA200" s="42"/>
      <c r="AB200" s="42"/>
      <c r="AC200" s="42"/>
      <c r="AD200" s="42"/>
      <c r="AE200" s="42"/>
      <c r="AF200" s="42" t="n">
        <v>11</v>
      </c>
    </row>
    <row r="201" customFormat="false" ht="11.25" hidden="false" customHeight="true" outlineLevel="0" collapsed="false">
      <c r="A201" s="679"/>
      <c r="B201" s="42"/>
      <c r="K201" s="42"/>
      <c r="N201" s="42"/>
      <c r="O201" s="42"/>
      <c r="P201" s="42"/>
      <c r="Q201" s="42"/>
      <c r="S201" s="42"/>
      <c r="T201" s="42"/>
      <c r="U201" s="42"/>
      <c r="V201" s="42"/>
      <c r="W201" s="42"/>
      <c r="X201" s="42"/>
      <c r="Y201" s="42"/>
      <c r="Z201" s="42"/>
      <c r="AA201" s="42"/>
      <c r="AB201" s="42"/>
      <c r="AC201" s="42"/>
      <c r="AD201" s="42"/>
      <c r="AE201" s="42"/>
      <c r="AF201" s="42" t="n">
        <v>11</v>
      </c>
    </row>
    <row r="202" customFormat="false" ht="11.25" hidden="false" customHeight="true" outlineLevel="0" collapsed="false">
      <c r="A202" s="679"/>
      <c r="B202" s="42"/>
      <c r="K202" s="42"/>
      <c r="N202" s="42"/>
      <c r="O202" s="42"/>
      <c r="P202" s="42"/>
      <c r="Q202" s="42"/>
      <c r="S202" s="42"/>
      <c r="T202" s="42"/>
      <c r="U202" s="42"/>
      <c r="V202" s="42"/>
      <c r="W202" s="42"/>
      <c r="X202" s="42"/>
      <c r="Y202" s="42"/>
      <c r="Z202" s="42"/>
      <c r="AA202" s="42"/>
      <c r="AB202" s="42"/>
      <c r="AC202" s="42"/>
      <c r="AD202" s="42"/>
      <c r="AE202" s="42"/>
      <c r="AF202" s="42" t="n">
        <v>11</v>
      </c>
    </row>
    <row r="203" customFormat="false" ht="11.25" hidden="false" customHeight="true" outlineLevel="0" collapsed="false">
      <c r="A203" s="679"/>
      <c r="B203" s="42"/>
      <c r="K203" s="42"/>
      <c r="N203" s="42"/>
      <c r="O203" s="42"/>
      <c r="P203" s="42"/>
      <c r="Q203" s="42"/>
      <c r="S203" s="42"/>
      <c r="T203" s="42"/>
      <c r="U203" s="42"/>
      <c r="V203" s="42"/>
      <c r="W203" s="42"/>
      <c r="X203" s="42"/>
      <c r="Y203" s="42"/>
      <c r="Z203" s="42"/>
      <c r="AA203" s="42"/>
      <c r="AB203" s="42"/>
      <c r="AC203" s="42"/>
      <c r="AD203" s="42"/>
      <c r="AE203" s="42"/>
      <c r="AF203" s="42" t="n">
        <v>11</v>
      </c>
    </row>
    <row r="204" customFormat="false" ht="11.25" hidden="false" customHeight="true" outlineLevel="0" collapsed="false">
      <c r="A204" s="679"/>
      <c r="B204" s="42"/>
      <c r="K204" s="42"/>
      <c r="N204" s="42"/>
      <c r="O204" s="42"/>
      <c r="P204" s="42"/>
      <c r="Q204" s="42"/>
      <c r="S204" s="42"/>
      <c r="T204" s="42"/>
      <c r="U204" s="42"/>
      <c r="V204" s="42"/>
      <c r="W204" s="42"/>
      <c r="X204" s="42"/>
      <c r="Y204" s="42"/>
      <c r="Z204" s="42"/>
      <c r="AA204" s="42"/>
      <c r="AB204" s="42"/>
      <c r="AC204" s="42"/>
      <c r="AD204" s="42"/>
      <c r="AE204" s="42"/>
      <c r="AF204" s="42" t="n">
        <v>11</v>
      </c>
    </row>
    <row r="205" customFormat="false" ht="11.25" hidden="false" customHeight="true" outlineLevel="0" collapsed="false">
      <c r="A205" s="679"/>
      <c r="B205" s="42"/>
      <c r="K205" s="42"/>
      <c r="N205" s="42"/>
      <c r="O205" s="42"/>
      <c r="P205" s="42"/>
      <c r="Q205" s="42"/>
      <c r="S205" s="42"/>
      <c r="T205" s="42"/>
      <c r="U205" s="42"/>
      <c r="V205" s="42"/>
      <c r="W205" s="42"/>
      <c r="X205" s="42"/>
      <c r="Y205" s="42"/>
      <c r="Z205" s="42"/>
      <c r="AA205" s="42"/>
      <c r="AB205" s="42"/>
      <c r="AC205" s="42"/>
      <c r="AD205" s="42"/>
      <c r="AE205" s="42"/>
      <c r="AF205" s="42" t="n">
        <v>11</v>
      </c>
    </row>
    <row r="206" customFormat="false" ht="11.25" hidden="false" customHeight="true" outlineLevel="0" collapsed="false">
      <c r="A206" s="679"/>
      <c r="B206" s="42"/>
      <c r="K206" s="42"/>
      <c r="N206" s="42"/>
      <c r="O206" s="42"/>
      <c r="P206" s="42"/>
      <c r="Q206" s="42"/>
      <c r="S206" s="42"/>
      <c r="T206" s="42"/>
      <c r="U206" s="42"/>
      <c r="V206" s="42"/>
      <c r="W206" s="42"/>
      <c r="X206" s="42"/>
      <c r="Y206" s="42"/>
      <c r="Z206" s="42"/>
      <c r="AA206" s="42"/>
      <c r="AB206" s="42"/>
      <c r="AC206" s="42"/>
      <c r="AD206" s="42"/>
      <c r="AE206" s="42"/>
      <c r="AF206" s="42" t="n">
        <v>11</v>
      </c>
    </row>
    <row r="207" customFormat="false" ht="11.25" hidden="false" customHeight="true" outlineLevel="0" collapsed="false">
      <c r="A207" s="679"/>
      <c r="B207" s="42"/>
      <c r="K207" s="42"/>
      <c r="N207" s="42"/>
      <c r="O207" s="42"/>
      <c r="P207" s="42"/>
      <c r="Q207" s="42"/>
      <c r="S207" s="42"/>
      <c r="T207" s="42"/>
      <c r="U207" s="42"/>
      <c r="V207" s="42"/>
      <c r="W207" s="42"/>
      <c r="X207" s="42"/>
      <c r="Y207" s="42"/>
      <c r="Z207" s="42"/>
      <c r="AA207" s="42"/>
      <c r="AB207" s="42"/>
      <c r="AC207" s="42"/>
      <c r="AD207" s="42"/>
      <c r="AE207" s="42"/>
      <c r="AF207" s="42" t="n">
        <v>11</v>
      </c>
    </row>
    <row r="208" customFormat="false" ht="11.25" hidden="false" customHeight="true" outlineLevel="0" collapsed="false">
      <c r="A208" s="679"/>
      <c r="B208" s="42"/>
      <c r="K208" s="42"/>
      <c r="N208" s="42"/>
      <c r="O208" s="42"/>
      <c r="P208" s="42"/>
      <c r="Q208" s="42"/>
      <c r="S208" s="42"/>
      <c r="T208" s="42"/>
      <c r="U208" s="42"/>
      <c r="V208" s="42"/>
      <c r="W208" s="42"/>
      <c r="X208" s="42"/>
      <c r="Y208" s="42"/>
      <c r="Z208" s="42"/>
      <c r="AA208" s="42"/>
      <c r="AB208" s="42"/>
      <c r="AC208" s="42"/>
      <c r="AD208" s="42"/>
      <c r="AE208" s="42"/>
      <c r="AF208" s="42" t="n">
        <v>11</v>
      </c>
    </row>
    <row r="209" customFormat="false" ht="11.25" hidden="false" customHeight="true" outlineLevel="0" collapsed="false">
      <c r="A209" s="679"/>
      <c r="B209" s="42"/>
      <c r="K209" s="42"/>
      <c r="N209" s="42"/>
      <c r="O209" s="42"/>
      <c r="P209" s="42"/>
      <c r="Q209" s="42"/>
      <c r="S209" s="42"/>
      <c r="T209" s="42"/>
      <c r="U209" s="42"/>
      <c r="V209" s="42"/>
      <c r="W209" s="42"/>
      <c r="X209" s="42"/>
      <c r="Y209" s="42"/>
      <c r="Z209" s="42"/>
      <c r="AA209" s="42"/>
      <c r="AB209" s="42"/>
      <c r="AC209" s="42"/>
      <c r="AD209" s="42"/>
      <c r="AE209" s="42"/>
      <c r="AF209" s="42" t="n">
        <v>11</v>
      </c>
    </row>
    <row r="210" customFormat="false" ht="11.25" hidden="true" customHeight="true" outlineLevel="0" collapsed="false">
      <c r="A210" s="608" t="s">
        <v>80</v>
      </c>
      <c r="B210" s="45" t="n">
        <v>0</v>
      </c>
      <c r="C210" s="49" t="n">
        <v>0</v>
      </c>
      <c r="D210" s="42" t="n">
        <v>3</v>
      </c>
      <c r="E210" s="42" t="n">
        <v>7</v>
      </c>
      <c r="F210" s="42" t="n">
        <v>54</v>
      </c>
      <c r="G210" s="42" t="n">
        <v>10</v>
      </c>
      <c r="H210" s="42" t="n">
        <v>0</v>
      </c>
      <c r="I210" s="42" t="n">
        <v>40</v>
      </c>
      <c r="J210" s="42" t="n">
        <v>102</v>
      </c>
      <c r="K210" s="45" t="n">
        <v>9</v>
      </c>
      <c r="L210" s="49" t="n">
        <v>5</v>
      </c>
      <c r="M210" s="49" t="n">
        <v>3</v>
      </c>
      <c r="N210" s="45" t="n">
        <v>3</v>
      </c>
      <c r="O210" s="45" t="n">
        <v>3</v>
      </c>
      <c r="P210" s="45" t="n">
        <v>3</v>
      </c>
      <c r="Q210" s="45" t="n">
        <v>3</v>
      </c>
      <c r="R210" s="49" t="n">
        <v>10</v>
      </c>
      <c r="S210" s="45" t="n">
        <v>34</v>
      </c>
      <c r="T210" s="45" t="n">
        <v>9</v>
      </c>
      <c r="U210" s="609" t="n">
        <v>8</v>
      </c>
      <c r="V210" s="45" t="n">
        <v>8</v>
      </c>
      <c r="W210" s="45" t="n">
        <v>8</v>
      </c>
      <c r="X210" s="45" t="n">
        <v>8</v>
      </c>
      <c r="Y210" s="45" t="n">
        <v>8</v>
      </c>
      <c r="Z210" s="45" t="n">
        <v>8</v>
      </c>
      <c r="AA210" s="48" t="n">
        <v>8</v>
      </c>
      <c r="AB210" s="48" t="n">
        <v>8</v>
      </c>
      <c r="AC210" s="48" t="n">
        <v>8</v>
      </c>
      <c r="AD210" s="48" t="n">
        <v>8</v>
      </c>
      <c r="AE210" s="48" t="n">
        <v>8</v>
      </c>
      <c r="AF210" s="42" t="n">
        <v>11</v>
      </c>
    </row>
  </sheetData>
  <mergeCells count="9">
    <mergeCell ref="E6:I6"/>
    <mergeCell ref="E7:I7"/>
    <mergeCell ref="F10:G10"/>
    <mergeCell ref="J10:J14"/>
    <mergeCell ref="F11:G11"/>
    <mergeCell ref="F12:G12"/>
    <mergeCell ref="E13:G13"/>
    <mergeCell ref="F39:G39"/>
    <mergeCell ref="F40:G40"/>
  </mergeCells>
  <dataValidations count="5">
    <dataValidation allowBlank="true" error="Допускается ввод только неотрицательных чисел!" errorStyle="stop" errorTitle="Ошибка" operator="between" showDropDown="false" showErrorMessage="true" showInputMessage="false" sqref="H2:I2 H15:I15 H17:I27 H31:I31 H36:I37"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5:I35" type="textLength">
      <formula1>900</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28:I28"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2:I34" type="decimal">
      <formula1>-9.99999999999999E+037</formula1>
      <formula2>9.99999999999999E+037</formula2>
    </dataValidation>
    <dataValidation allowBlank="true" error="Допускается ввод только действительных чисел!" errorStyle="stop" errorTitle="Ошибка" operator="between" showDropDown="false" showErrorMessage="true" showInputMessage="false" sqref="H30:I30"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X10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1.25" zeroHeight="false" outlineLevelRow="0" outlineLevelCol="0"/>
  <cols>
    <col collapsed="false" customWidth="true" hidden="true" outlineLevel="0" max="1" min="1" style="117" width="9.15"/>
    <col collapsed="false" customWidth="true" hidden="true" outlineLevel="0" max="2" min="2" style="49" width="3.57"/>
    <col collapsed="false" customWidth="true" hidden="false" outlineLevel="0" max="3" min="3" style="42" width="3"/>
    <col collapsed="false" customWidth="true" hidden="false" outlineLevel="0" max="4" min="4" style="42" width="7"/>
    <col collapsed="false" customWidth="true" hidden="false" outlineLevel="0" max="5" min="5" style="42" width="69"/>
    <col collapsed="false" customWidth="true" hidden="false" outlineLevel="0" max="6" min="6" style="42" width="10"/>
    <col collapsed="false" customWidth="true" hidden="true" outlineLevel="0" max="8" min="7" style="42" width="44"/>
    <col collapsed="false" customWidth="true" hidden="false" outlineLevel="0" max="9" min="9" style="42" width="44"/>
    <col collapsed="false" customWidth="true" hidden="false" outlineLevel="0" max="10" min="10" style="42" width="43"/>
    <col collapsed="false" customWidth="true" hidden="false" outlineLevel="0" max="11" min="11" style="42" width="73"/>
    <col collapsed="false" customWidth="true" hidden="false" outlineLevel="0" max="12" min="12" style="42" width="3"/>
    <col collapsed="false" customWidth="true" hidden="false" outlineLevel="0" max="23" min="13" style="42" width="10"/>
    <col collapsed="false" customWidth="false" hidden="true" outlineLevel="0" max="24" min="24" style="42" width="10.57"/>
  </cols>
  <sheetData>
    <row r="1" s="45" customFormat="true" ht="22.5" hidden="true" customHeight="true" outlineLevel="0" collapsed="false">
      <c r="A1" s="117"/>
      <c r="B1" s="49"/>
      <c r="G1" s="45" t="n">
        <v>4</v>
      </c>
      <c r="I1" s="45" t="n">
        <v>4</v>
      </c>
      <c r="K1" s="45" t="n">
        <v>5</v>
      </c>
      <c r="X1" s="45" t="s">
        <v>14</v>
      </c>
    </row>
    <row r="2" customFormat="false" ht="3" hidden="false" customHeight="true" outlineLevel="0" collapsed="false">
      <c r="X2" s="42" t="n">
        <v>3</v>
      </c>
    </row>
    <row r="3" customFormat="false" ht="78.75" hidden="false" customHeight="true" outlineLevel="0" collapsed="false">
      <c r="D3" s="178" t="str">
        <f aca="false">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78"/>
      <c r="F3" s="178"/>
      <c r="X3" s="42" t="n">
        <v>75</v>
      </c>
    </row>
    <row r="4" s="42" customFormat="true" ht="21" hidden="false" customHeight="true" outlineLevel="0" collapsed="false">
      <c r="A4" s="117"/>
      <c r="B4" s="49"/>
      <c r="D4" s="259" t="str">
        <f aca="false">IF(org=0,"Не определено",org)</f>
        <v>Филиал ПАО "ОГК-2" - Серовская ГРЭС, г. Серов</v>
      </c>
      <c r="E4" s="259"/>
      <c r="F4" s="259"/>
      <c r="X4" s="42" t="n">
        <v>20</v>
      </c>
    </row>
    <row r="5" customFormat="false" ht="11.25" hidden="false" customHeight="true" outlineLevel="0" collapsed="false">
      <c r="H5" s="290"/>
      <c r="J5" s="290"/>
      <c r="X5" s="42" t="n">
        <v>11</v>
      </c>
    </row>
    <row r="6" customFormat="false" ht="0.75" hidden="false" customHeight="true" outlineLevel="0" collapsed="false">
      <c r="E6" s="43"/>
      <c r="F6" s="683"/>
      <c r="G6" s="743"/>
      <c r="H6" s="743"/>
      <c r="I6" s="743" t="s">
        <v>115</v>
      </c>
      <c r="J6" s="743"/>
      <c r="X6" s="42" t="n">
        <v>1</v>
      </c>
    </row>
    <row r="7" customFormat="false" ht="11.25" hidden="false" customHeight="true" outlineLevel="0" collapsed="false">
      <c r="D7" s="624"/>
      <c r="E7" s="625" t="s">
        <v>103</v>
      </c>
      <c r="F7" s="625"/>
      <c r="G7" s="744" t="str">
        <f aca="false">IF(G6="","",INDEX(DIFFERENTIATION_UNMERGE_VD,MATCH(G6,DIFFERENTIATION_ID_DIFF,0)))</f>
        <v/>
      </c>
      <c r="H7" s="744"/>
      <c r="I7" s="744" t="str">
        <f aca="false">IF(I6="","",INDEX(DIFFERENTIATION_UNMERGE_VD,MATCH(I6,DIFFERENTIATION_ID_DIFF,0)))</f>
        <v>Водоотведение; Транспортировка</v>
      </c>
      <c r="J7" s="744"/>
      <c r="K7" s="138"/>
      <c r="X7" s="42" t="n">
        <v>11</v>
      </c>
    </row>
    <row r="8" customFormat="false" ht="11.25" hidden="false" customHeight="true" outlineLevel="0" collapsed="false">
      <c r="D8" s="624"/>
      <c r="E8" s="625" t="s">
        <v>561</v>
      </c>
      <c r="F8" s="625"/>
      <c r="G8" s="744" t="str">
        <f aca="false">IF(G6="","",INDEX(DIFFERENTIATION_UNMERGE_AREA,MATCH(G6,DIFFERENTIATION_ID_DIFF,0)))</f>
        <v/>
      </c>
      <c r="H8" s="744"/>
      <c r="I8" s="744" t="str">
        <f aca="false">IF(I6="","",INDEX(DIFFERENTIATION_UNMERGE_AREA,MATCH(I6,DIFFERENTIATION_ID_DIFF,0)))</f>
        <v>Территория 1</v>
      </c>
      <c r="J8" s="744"/>
      <c r="K8" s="138"/>
      <c r="X8" s="42" t="n">
        <v>11</v>
      </c>
    </row>
    <row r="9" customFormat="false" ht="11.25" hidden="false" customHeight="true" outlineLevel="0" collapsed="false">
      <c r="D9" s="624"/>
      <c r="E9" s="625" t="s">
        <v>562</v>
      </c>
      <c r="F9" s="625"/>
      <c r="G9" s="744" t="str">
        <f aca="false">IF(G6="","",INDEX(DIFFERENTIATION_UNMERGE_SYSTEM,MATCH(G6,DIFFERENTIATION_ID_DIFF,0)))</f>
        <v/>
      </c>
      <c r="H9" s="744"/>
      <c r="I9" s="744" t="str">
        <f aca="false">IF(I6="","",INDEX(DIFFERENTIATION_UNMERGE_SYSTEM,MATCH(I6,DIFFERENTIATION_ID_DIFF,0)))</f>
        <v>без дифференциации</v>
      </c>
      <c r="J9" s="744"/>
      <c r="K9" s="138"/>
      <c r="X9" s="42" t="n">
        <v>11</v>
      </c>
    </row>
    <row r="10" s="42" customFormat="true" ht="11.25" hidden="false" customHeight="true" outlineLevel="0" collapsed="false">
      <c r="A10" s="117"/>
      <c r="B10" s="49"/>
      <c r="D10" s="138" t="s">
        <v>297</v>
      </c>
      <c r="E10" s="138"/>
      <c r="F10" s="138"/>
      <c r="G10" s="138"/>
      <c r="H10" s="138"/>
      <c r="I10" s="138"/>
      <c r="J10" s="138"/>
      <c r="K10" s="138"/>
      <c r="X10" s="42" t="n">
        <v>11</v>
      </c>
    </row>
    <row r="11" s="42" customFormat="true" ht="24" hidden="false" customHeight="true" outlineLevel="0" collapsed="false">
      <c r="A11" s="495"/>
      <c r="B11" s="495"/>
      <c r="C11" s="340"/>
      <c r="D11" s="150" t="s">
        <v>86</v>
      </c>
      <c r="E11" s="150" t="s">
        <v>804</v>
      </c>
      <c r="F11" s="150" t="s">
        <v>563</v>
      </c>
      <c r="G11" s="150" t="s">
        <v>300</v>
      </c>
      <c r="H11" s="150" t="s">
        <v>387</v>
      </c>
      <c r="I11" s="150" t="s">
        <v>300</v>
      </c>
      <c r="J11" s="263" t="s">
        <v>387</v>
      </c>
      <c r="K11" s="138"/>
      <c r="L11" s="495"/>
      <c r="X11" s="42" t="n">
        <v>23</v>
      </c>
    </row>
    <row r="12" s="49" customFormat="true" ht="10.5" hidden="false" customHeight="true" outlineLevel="0" collapsed="false">
      <c r="A12" s="462"/>
      <c r="D12" s="462" t="s">
        <v>107</v>
      </c>
      <c r="E12" s="462" t="s">
        <v>108</v>
      </c>
      <c r="F12" s="462" t="s">
        <v>88</v>
      </c>
      <c r="G12" s="125" t="str">
        <f aca="false">G1&amp;".1"</f>
        <v>4.1</v>
      </c>
      <c r="H12" s="125" t="str">
        <f aca="false">G1&amp;".2"</f>
        <v>4.2</v>
      </c>
      <c r="I12" s="125" t="str">
        <f aca="false">I1&amp;".1"</f>
        <v>4.1</v>
      </c>
      <c r="J12" s="125" t="str">
        <f aca="false">I1&amp;".2"</f>
        <v>4.2</v>
      </c>
      <c r="K12" s="125"/>
      <c r="X12" s="49" t="n">
        <v>10</v>
      </c>
    </row>
    <row r="13" customFormat="false" ht="22.5" hidden="true" customHeight="true" outlineLevel="0" collapsed="false">
      <c r="A13" s="745" t="s">
        <v>805</v>
      </c>
      <c r="D13" s="200" t="s">
        <v>107</v>
      </c>
      <c r="E13" s="629" t="s">
        <v>806</v>
      </c>
      <c r="F13" s="139" t="s">
        <v>807</v>
      </c>
      <c r="G13" s="630"/>
      <c r="H13" s="713"/>
      <c r="I13" s="630"/>
      <c r="J13" s="713"/>
      <c r="K13" s="423" t="s">
        <v>808</v>
      </c>
      <c r="L13" s="746"/>
      <c r="X13" s="42" t="n">
        <v>0</v>
      </c>
    </row>
    <row r="14" customFormat="false" ht="22.5" hidden="true" customHeight="true" outlineLevel="0" collapsed="false">
      <c r="A14" s="745"/>
      <c r="D14" s="200" t="s">
        <v>108</v>
      </c>
      <c r="E14" s="629" t="s">
        <v>809</v>
      </c>
      <c r="F14" s="139" t="s">
        <v>810</v>
      </c>
      <c r="G14" s="630"/>
      <c r="H14" s="713"/>
      <c r="I14" s="630"/>
      <c r="J14" s="713"/>
      <c r="K14" s="423" t="s">
        <v>811</v>
      </c>
      <c r="L14" s="746"/>
      <c r="X14" s="42" t="n">
        <v>0</v>
      </c>
    </row>
    <row r="15" s="42" customFormat="true" ht="78.75" hidden="true" customHeight="true" outlineLevel="0" collapsed="false">
      <c r="A15" s="745"/>
      <c r="B15" s="49"/>
      <c r="D15" s="200" t="s">
        <v>88</v>
      </c>
      <c r="E15" s="629" t="s">
        <v>812</v>
      </c>
      <c r="F15" s="150" t="s">
        <v>303</v>
      </c>
      <c r="G15" s="150" t="s">
        <v>303</v>
      </c>
      <c r="H15" s="333"/>
      <c r="I15" s="150" t="s">
        <v>303</v>
      </c>
      <c r="J15" s="333"/>
      <c r="K15" s="423" t="s">
        <v>813</v>
      </c>
      <c r="L15" s="746"/>
      <c r="X15" s="42" t="n">
        <v>0</v>
      </c>
    </row>
    <row r="16" s="42" customFormat="true" ht="22.5" hidden="true" customHeight="true" outlineLevel="0" collapsed="false">
      <c r="A16" s="745"/>
      <c r="B16" s="49"/>
      <c r="D16" s="200" t="s">
        <v>321</v>
      </c>
      <c r="E16" s="577" t="s">
        <v>814</v>
      </c>
      <c r="F16" s="150" t="s">
        <v>815</v>
      </c>
      <c r="G16" s="747"/>
      <c r="H16" s="333"/>
      <c r="I16" s="747"/>
      <c r="J16" s="333"/>
      <c r="K16" s="423"/>
      <c r="L16" s="746"/>
      <c r="X16" s="42" t="n">
        <v>0</v>
      </c>
    </row>
    <row r="17" s="42" customFormat="true" ht="22.5" hidden="true" customHeight="true" outlineLevel="0" collapsed="false">
      <c r="A17" s="745"/>
      <c r="B17" s="49"/>
      <c r="D17" s="200" t="s">
        <v>329</v>
      </c>
      <c r="E17" s="577" t="s">
        <v>816</v>
      </c>
      <c r="F17" s="150" t="s">
        <v>817</v>
      </c>
      <c r="G17" s="747"/>
      <c r="H17" s="333"/>
      <c r="I17" s="747"/>
      <c r="J17" s="333"/>
      <c r="K17" s="423"/>
      <c r="L17" s="746"/>
      <c r="X17" s="42" t="n">
        <v>0</v>
      </c>
    </row>
    <row r="18" s="42" customFormat="true" ht="33.75" hidden="true" customHeight="true" outlineLevel="0" collapsed="false">
      <c r="A18" s="745"/>
      <c r="B18" s="49"/>
      <c r="D18" s="200" t="s">
        <v>331</v>
      </c>
      <c r="E18" s="577" t="s">
        <v>818</v>
      </c>
      <c r="F18" s="150" t="s">
        <v>568</v>
      </c>
      <c r="G18" s="748"/>
      <c r="H18" s="333"/>
      <c r="I18" s="748"/>
      <c r="J18" s="333"/>
      <c r="K18" s="423"/>
      <c r="L18" s="746"/>
      <c r="X18" s="42" t="n">
        <v>0</v>
      </c>
    </row>
    <row r="19" customFormat="false" ht="101.25" hidden="true" customHeight="true" outlineLevel="0" collapsed="false">
      <c r="A19" s="745"/>
      <c r="D19" s="200" t="s">
        <v>89</v>
      </c>
      <c r="E19" s="629" t="s">
        <v>819</v>
      </c>
      <c r="F19" s="139" t="s">
        <v>543</v>
      </c>
      <c r="G19" s="332"/>
      <c r="H19" s="713"/>
      <c r="I19" s="332"/>
      <c r="J19" s="713"/>
      <c r="K19" s="612" t="s">
        <v>820</v>
      </c>
      <c r="L19" s="746"/>
      <c r="X19" s="42" t="n">
        <v>0</v>
      </c>
    </row>
    <row r="20" s="42" customFormat="true" ht="18.75" hidden="true" customHeight="true" outlineLevel="0" collapsed="false">
      <c r="A20" s="745"/>
      <c r="C20" s="121"/>
      <c r="D20" s="200" t="s">
        <v>751</v>
      </c>
      <c r="E20" s="577" t="s">
        <v>821</v>
      </c>
      <c r="F20" s="150" t="s">
        <v>303</v>
      </c>
      <c r="G20" s="150" t="s">
        <v>303</v>
      </c>
      <c r="H20" s="260" t="s">
        <v>303</v>
      </c>
      <c r="I20" s="150" t="s">
        <v>303</v>
      </c>
      <c r="J20" s="260" t="s">
        <v>303</v>
      </c>
      <c r="K20" s="263"/>
      <c r="L20" s="746"/>
      <c r="W20" s="108"/>
      <c r="X20" s="42" t="n">
        <v>0</v>
      </c>
    </row>
    <row r="21" s="42" customFormat="true" ht="33.75" hidden="true" customHeight="true" outlineLevel="0" collapsed="false">
      <c r="A21" s="745"/>
      <c r="C21" s="121"/>
      <c r="D21" s="200" t="s">
        <v>754</v>
      </c>
      <c r="E21" s="646" t="s">
        <v>822</v>
      </c>
      <c r="F21" s="150" t="s">
        <v>823</v>
      </c>
      <c r="G21" s="748"/>
      <c r="H21" s="333"/>
      <c r="I21" s="748"/>
      <c r="J21" s="333"/>
      <c r="K21" s="263"/>
      <c r="L21" s="746"/>
      <c r="W21" s="108"/>
      <c r="X21" s="42" t="n">
        <v>0</v>
      </c>
    </row>
    <row r="22" s="42" customFormat="true" ht="33.75" hidden="true" customHeight="true" outlineLevel="0" collapsed="false">
      <c r="A22" s="745"/>
      <c r="C22" s="121"/>
      <c r="D22" s="200" t="s">
        <v>757</v>
      </c>
      <c r="E22" s="646" t="s">
        <v>824</v>
      </c>
      <c r="F22" s="150" t="s">
        <v>825</v>
      </c>
      <c r="G22" s="748"/>
      <c r="H22" s="333"/>
      <c r="I22" s="748"/>
      <c r="J22" s="333"/>
      <c r="K22" s="263"/>
      <c r="L22" s="746"/>
      <c r="W22" s="108"/>
      <c r="X22" s="42" t="n">
        <v>0</v>
      </c>
    </row>
    <row r="23" s="42" customFormat="true" ht="22.5" hidden="true" customHeight="true" outlineLevel="0" collapsed="false">
      <c r="A23" s="745"/>
      <c r="C23" s="121"/>
      <c r="D23" s="200" t="s">
        <v>793</v>
      </c>
      <c r="E23" s="577" t="s">
        <v>826</v>
      </c>
      <c r="F23" s="150" t="s">
        <v>303</v>
      </c>
      <c r="G23" s="150" t="s">
        <v>303</v>
      </c>
      <c r="H23" s="260" t="s">
        <v>303</v>
      </c>
      <c r="I23" s="150" t="s">
        <v>303</v>
      </c>
      <c r="J23" s="260" t="s">
        <v>303</v>
      </c>
      <c r="K23" s="263"/>
      <c r="L23" s="746"/>
      <c r="W23" s="108"/>
      <c r="X23" s="42" t="n">
        <v>0</v>
      </c>
    </row>
    <row r="24" s="42" customFormat="true" ht="22.5" hidden="true" customHeight="true" outlineLevel="0" collapsed="false">
      <c r="A24" s="745"/>
      <c r="C24" s="121"/>
      <c r="D24" s="200" t="s">
        <v>827</v>
      </c>
      <c r="E24" s="646" t="s">
        <v>828</v>
      </c>
      <c r="F24" s="150" t="s">
        <v>829</v>
      </c>
      <c r="G24" s="748"/>
      <c r="H24" s="749"/>
      <c r="I24" s="748"/>
      <c r="J24" s="749"/>
      <c r="K24" s="263"/>
      <c r="L24" s="746"/>
      <c r="W24" s="108"/>
      <c r="X24" s="42" t="n">
        <v>0</v>
      </c>
    </row>
    <row r="25" s="42" customFormat="true" ht="22.5" hidden="true" customHeight="true" outlineLevel="0" collapsed="false">
      <c r="A25" s="745"/>
      <c r="C25" s="121"/>
      <c r="D25" s="200" t="s">
        <v>830</v>
      </c>
      <c r="E25" s="646" t="s">
        <v>831</v>
      </c>
      <c r="F25" s="150" t="s">
        <v>303</v>
      </c>
      <c r="G25" s="150" t="s">
        <v>303</v>
      </c>
      <c r="H25" s="260" t="s">
        <v>303</v>
      </c>
      <c r="I25" s="150" t="s">
        <v>303</v>
      </c>
      <c r="J25" s="260" t="s">
        <v>303</v>
      </c>
      <c r="K25" s="263"/>
      <c r="L25" s="746"/>
      <c r="W25" s="108"/>
      <c r="X25" s="42" t="n">
        <v>0</v>
      </c>
    </row>
    <row r="26" s="42" customFormat="true" ht="18.75" hidden="true" customHeight="true" outlineLevel="0" collapsed="false">
      <c r="A26" s="745"/>
      <c r="C26" s="121"/>
      <c r="D26" s="200" t="s">
        <v>832</v>
      </c>
      <c r="E26" s="616" t="s">
        <v>833</v>
      </c>
      <c r="F26" s="150" t="s">
        <v>834</v>
      </c>
      <c r="G26" s="748"/>
      <c r="H26" s="749"/>
      <c r="I26" s="748"/>
      <c r="J26" s="749"/>
      <c r="K26" s="263"/>
      <c r="L26" s="746"/>
      <c r="W26" s="108"/>
      <c r="X26" s="42" t="n">
        <v>0</v>
      </c>
    </row>
    <row r="27" s="42" customFormat="true" ht="18.75" hidden="true" customHeight="true" outlineLevel="0" collapsed="false">
      <c r="A27" s="745"/>
      <c r="C27" s="121"/>
      <c r="D27" s="200" t="s">
        <v>835</v>
      </c>
      <c r="E27" s="616" t="s">
        <v>836</v>
      </c>
      <c r="F27" s="150" t="s">
        <v>837</v>
      </c>
      <c r="G27" s="748"/>
      <c r="H27" s="749"/>
      <c r="I27" s="748"/>
      <c r="J27" s="749"/>
      <c r="K27" s="263"/>
      <c r="L27" s="746"/>
      <c r="W27" s="108"/>
      <c r="X27" s="42" t="n">
        <v>0</v>
      </c>
    </row>
    <row r="28" s="42" customFormat="true" ht="18.75" hidden="true" customHeight="true" outlineLevel="0" collapsed="false">
      <c r="A28" s="745"/>
      <c r="C28" s="121"/>
      <c r="D28" s="200" t="s">
        <v>838</v>
      </c>
      <c r="E28" s="646" t="s">
        <v>839</v>
      </c>
      <c r="F28" s="150" t="s">
        <v>303</v>
      </c>
      <c r="G28" s="150" t="s">
        <v>303</v>
      </c>
      <c r="H28" s="260" t="s">
        <v>303</v>
      </c>
      <c r="I28" s="150" t="s">
        <v>303</v>
      </c>
      <c r="J28" s="260" t="s">
        <v>303</v>
      </c>
      <c r="K28" s="263"/>
      <c r="L28" s="746"/>
      <c r="W28" s="108"/>
      <c r="X28" s="42" t="n">
        <v>0</v>
      </c>
    </row>
    <row r="29" s="42" customFormat="true" ht="18.75" hidden="true" customHeight="true" outlineLevel="0" collapsed="false">
      <c r="A29" s="745"/>
      <c r="C29" s="121"/>
      <c r="D29" s="200" t="s">
        <v>840</v>
      </c>
      <c r="E29" s="616" t="s">
        <v>833</v>
      </c>
      <c r="F29" s="150" t="s">
        <v>841</v>
      </c>
      <c r="G29" s="748"/>
      <c r="H29" s="749"/>
      <c r="I29" s="748"/>
      <c r="J29" s="749"/>
      <c r="K29" s="263"/>
      <c r="L29" s="746"/>
      <c r="W29" s="108"/>
      <c r="X29" s="42" t="n">
        <v>0</v>
      </c>
    </row>
    <row r="30" s="42" customFormat="true" ht="18.75" hidden="true" customHeight="true" outlineLevel="0" collapsed="false">
      <c r="A30" s="745"/>
      <c r="C30" s="121"/>
      <c r="D30" s="200" t="s">
        <v>842</v>
      </c>
      <c r="E30" s="616" t="s">
        <v>843</v>
      </c>
      <c r="F30" s="150" t="s">
        <v>844</v>
      </c>
      <c r="G30" s="748"/>
      <c r="H30" s="749"/>
      <c r="I30" s="748"/>
      <c r="J30" s="749"/>
      <c r="K30" s="263"/>
      <c r="L30" s="746"/>
      <c r="W30" s="108"/>
      <c r="X30" s="42" t="n">
        <v>0</v>
      </c>
    </row>
    <row r="31" customFormat="false" ht="126.75" hidden="true" customHeight="true" outlineLevel="0" collapsed="false">
      <c r="A31" s="745"/>
      <c r="D31" s="200" t="s">
        <v>109</v>
      </c>
      <c r="E31" s="629" t="s">
        <v>845</v>
      </c>
      <c r="F31" s="139" t="s">
        <v>555</v>
      </c>
      <c r="G31" s="630"/>
      <c r="H31" s="713"/>
      <c r="I31" s="630"/>
      <c r="J31" s="713"/>
      <c r="K31" s="612" t="s">
        <v>846</v>
      </c>
      <c r="L31" s="746"/>
      <c r="X31" s="42" t="n">
        <v>0</v>
      </c>
    </row>
    <row r="32" customFormat="false" ht="56.25" hidden="true" customHeight="true" outlineLevel="0" collapsed="false">
      <c r="A32" s="745"/>
      <c r="D32" s="200" t="s">
        <v>90</v>
      </c>
      <c r="E32" s="629" t="s">
        <v>847</v>
      </c>
      <c r="F32" s="200" t="s">
        <v>817</v>
      </c>
      <c r="G32" s="630"/>
      <c r="H32" s="713"/>
      <c r="I32" s="630"/>
      <c r="J32" s="713"/>
      <c r="K32" s="612" t="s">
        <v>848</v>
      </c>
      <c r="L32" s="746"/>
      <c r="X32" s="42" t="n">
        <v>0</v>
      </c>
    </row>
    <row r="33" customFormat="false" ht="11.25" hidden="true" customHeight="true" outlineLevel="0" collapsed="false">
      <c r="A33" s="745"/>
      <c r="E33" s="415"/>
      <c r="F33" s="173"/>
      <c r="G33" s="173"/>
      <c r="H33" s="173"/>
      <c r="I33" s="173"/>
      <c r="J33" s="173"/>
      <c r="K33" s="173"/>
      <c r="X33" s="42" t="n">
        <v>0</v>
      </c>
    </row>
    <row r="34" customFormat="false" ht="12.75" hidden="true" customHeight="true" outlineLevel="0" collapsed="false">
      <c r="A34" s="745"/>
      <c r="D34" s="340" t="n">
        <v>1</v>
      </c>
      <c r="E34" s="750" t="s">
        <v>849</v>
      </c>
      <c r="X34" s="42" t="n">
        <v>0</v>
      </c>
    </row>
    <row r="35" customFormat="false" ht="11.25" hidden="true" customHeight="true" outlineLevel="0" collapsed="false">
      <c r="A35" s="745"/>
      <c r="D35" s="340"/>
      <c r="E35" s="750" t="s">
        <v>850</v>
      </c>
      <c r="X35" s="42" t="n">
        <v>0</v>
      </c>
    </row>
    <row r="36" s="42" customFormat="true" ht="11.25" hidden="false" customHeight="true" outlineLevel="0" collapsed="false">
      <c r="A36" s="117"/>
      <c r="B36" s="49"/>
      <c r="D36" s="340"/>
      <c r="E36" s="750"/>
      <c r="X36" s="42" t="n">
        <v>11</v>
      </c>
    </row>
    <row r="37" s="42" customFormat="true" ht="22.5" hidden="true" customHeight="true" outlineLevel="0" collapsed="false">
      <c r="A37" s="745" t="s">
        <v>851</v>
      </c>
      <c r="B37" s="49"/>
      <c r="D37" s="200" t="n">
        <v>1</v>
      </c>
      <c r="E37" s="629" t="s">
        <v>852</v>
      </c>
      <c r="F37" s="139" t="s">
        <v>807</v>
      </c>
      <c r="G37" s="630"/>
      <c r="H37" s="751"/>
      <c r="I37" s="630"/>
      <c r="J37" s="751"/>
      <c r="K37" s="423" t="s">
        <v>853</v>
      </c>
      <c r="X37" s="42" t="n">
        <v>0</v>
      </c>
    </row>
    <row r="38" s="42" customFormat="true" ht="22.5" hidden="true" customHeight="true" outlineLevel="0" collapsed="false">
      <c r="A38" s="745"/>
      <c r="B38" s="49"/>
      <c r="D38" s="752" t="s">
        <v>108</v>
      </c>
      <c r="E38" s="753" t="s">
        <v>854</v>
      </c>
      <c r="F38" s="754" t="s">
        <v>543</v>
      </c>
      <c r="G38" s="754" t="s">
        <v>543</v>
      </c>
      <c r="H38" s="755"/>
      <c r="I38" s="754" t="s">
        <v>543</v>
      </c>
      <c r="J38" s="755"/>
      <c r="K38" s="483"/>
      <c r="X38" s="42" t="n">
        <v>0</v>
      </c>
    </row>
    <row r="39" s="42" customFormat="true" ht="33.75" hidden="true" customHeight="true" outlineLevel="0" collapsed="false">
      <c r="A39" s="745"/>
      <c r="B39" s="49"/>
      <c r="D39" s="756" t="s">
        <v>709</v>
      </c>
      <c r="E39" s="757" t="s">
        <v>855</v>
      </c>
      <c r="F39" s="139" t="s">
        <v>856</v>
      </c>
      <c r="G39" s="758"/>
      <c r="H39" s="759"/>
      <c r="I39" s="758"/>
      <c r="J39" s="759"/>
      <c r="K39" s="423" t="s">
        <v>857</v>
      </c>
      <c r="X39" s="42" t="n">
        <v>0</v>
      </c>
    </row>
    <row r="40" s="42" customFormat="true" ht="33.75" hidden="true" customHeight="true" outlineLevel="0" collapsed="false">
      <c r="A40" s="745"/>
      <c r="B40" s="49"/>
      <c r="D40" s="756" t="s">
        <v>712</v>
      </c>
      <c r="E40" s="757" t="s">
        <v>858</v>
      </c>
      <c r="F40" s="760" t="s">
        <v>859</v>
      </c>
      <c r="G40" s="761"/>
      <c r="H40" s="759"/>
      <c r="I40" s="761"/>
      <c r="J40" s="759"/>
      <c r="K40" s="423" t="s">
        <v>860</v>
      </c>
      <c r="X40" s="42" t="n">
        <v>0</v>
      </c>
    </row>
    <row r="41" s="42" customFormat="true" ht="22.5" hidden="true" customHeight="true" outlineLevel="0" collapsed="false">
      <c r="A41" s="745"/>
      <c r="B41" s="49"/>
      <c r="D41" s="756" t="s">
        <v>88</v>
      </c>
      <c r="E41" s="762" t="s">
        <v>861</v>
      </c>
      <c r="F41" s="139" t="s">
        <v>543</v>
      </c>
      <c r="G41" s="139" t="s">
        <v>543</v>
      </c>
      <c r="H41" s="763"/>
      <c r="I41" s="139" t="s">
        <v>543</v>
      </c>
      <c r="J41" s="763"/>
      <c r="K41" s="485"/>
      <c r="X41" s="42" t="n">
        <v>0</v>
      </c>
    </row>
    <row r="42" s="42" customFormat="true" ht="45" hidden="true" customHeight="true" outlineLevel="0" collapsed="false">
      <c r="A42" s="745"/>
      <c r="B42" s="49"/>
      <c r="D42" s="756" t="s">
        <v>321</v>
      </c>
      <c r="E42" s="757" t="s">
        <v>862</v>
      </c>
      <c r="F42" s="139" t="s">
        <v>555</v>
      </c>
      <c r="G42" s="630"/>
      <c r="H42" s="763"/>
      <c r="I42" s="630"/>
      <c r="J42" s="763"/>
      <c r="K42" s="485" t="s">
        <v>863</v>
      </c>
      <c r="X42" s="42" t="n">
        <v>0</v>
      </c>
    </row>
    <row r="43" s="42" customFormat="true" ht="45" hidden="true" customHeight="true" outlineLevel="0" collapsed="false">
      <c r="A43" s="745"/>
      <c r="B43" s="49"/>
      <c r="D43" s="756" t="s">
        <v>329</v>
      </c>
      <c r="E43" s="764" t="s">
        <v>864</v>
      </c>
      <c r="F43" s="765" t="s">
        <v>555</v>
      </c>
      <c r="G43" s="667"/>
      <c r="H43" s="759"/>
      <c r="I43" s="667"/>
      <c r="J43" s="759"/>
      <c r="K43" s="485" t="s">
        <v>865</v>
      </c>
      <c r="X43" s="42" t="n">
        <v>0</v>
      </c>
    </row>
    <row r="44" s="42" customFormat="true" ht="11.25" hidden="true" customHeight="true" outlineLevel="0" collapsed="false">
      <c r="A44" s="745"/>
      <c r="B44" s="49"/>
      <c r="D44" s="756" t="s">
        <v>89</v>
      </c>
      <c r="E44" s="766" t="s">
        <v>866</v>
      </c>
      <c r="F44" s="139" t="s">
        <v>856</v>
      </c>
      <c r="G44" s="758"/>
      <c r="H44" s="759"/>
      <c r="I44" s="758"/>
      <c r="J44" s="759"/>
      <c r="K44" s="423"/>
      <c r="X44" s="42" t="n">
        <v>0</v>
      </c>
    </row>
    <row r="45" s="42" customFormat="true" ht="11.25" hidden="true" customHeight="true" outlineLevel="0" collapsed="false">
      <c r="A45" s="745"/>
      <c r="B45" s="49"/>
      <c r="D45" s="756" t="s">
        <v>751</v>
      </c>
      <c r="E45" s="764" t="s">
        <v>867</v>
      </c>
      <c r="F45" s="139" t="s">
        <v>856</v>
      </c>
      <c r="G45" s="758"/>
      <c r="H45" s="759"/>
      <c r="I45" s="758"/>
      <c r="J45" s="759"/>
      <c r="K45" s="423"/>
      <c r="X45" s="42" t="n">
        <v>0</v>
      </c>
    </row>
    <row r="46" s="42" customFormat="true" ht="11.25" hidden="true" customHeight="true" outlineLevel="0" collapsed="false">
      <c r="A46" s="745"/>
      <c r="B46" s="49"/>
      <c r="D46" s="756" t="s">
        <v>793</v>
      </c>
      <c r="E46" s="764" t="s">
        <v>868</v>
      </c>
      <c r="F46" s="139" t="s">
        <v>856</v>
      </c>
      <c r="G46" s="758"/>
      <c r="H46" s="759"/>
      <c r="I46" s="758"/>
      <c r="J46" s="759"/>
      <c r="K46" s="423"/>
      <c r="X46" s="42" t="n">
        <v>0</v>
      </c>
    </row>
    <row r="47" s="42" customFormat="true" ht="11.25" hidden="true" customHeight="true" outlineLevel="0" collapsed="false">
      <c r="A47" s="745"/>
      <c r="B47" s="49"/>
      <c r="D47" s="756" t="s">
        <v>796</v>
      </c>
      <c r="E47" s="764" t="s">
        <v>869</v>
      </c>
      <c r="F47" s="139" t="s">
        <v>856</v>
      </c>
      <c r="G47" s="758"/>
      <c r="H47" s="759"/>
      <c r="I47" s="758"/>
      <c r="J47" s="759"/>
      <c r="K47" s="423"/>
      <c r="X47" s="42" t="n">
        <v>0</v>
      </c>
    </row>
    <row r="48" s="42" customFormat="true" ht="11.25" hidden="true" customHeight="true" outlineLevel="0" collapsed="false">
      <c r="A48" s="745"/>
      <c r="B48" s="49"/>
      <c r="D48" s="756" t="s">
        <v>870</v>
      </c>
      <c r="E48" s="767" t="s">
        <v>871</v>
      </c>
      <c r="F48" s="139" t="s">
        <v>856</v>
      </c>
      <c r="G48" s="758"/>
      <c r="H48" s="759"/>
      <c r="I48" s="758"/>
      <c r="J48" s="759"/>
      <c r="K48" s="423"/>
      <c r="X48" s="42" t="n">
        <v>0</v>
      </c>
    </row>
    <row r="49" s="42" customFormat="true" ht="11.25" hidden="true" customHeight="true" outlineLevel="0" collapsed="false">
      <c r="A49" s="745"/>
      <c r="B49" s="49"/>
      <c r="D49" s="756" t="s">
        <v>872</v>
      </c>
      <c r="E49" s="767" t="s">
        <v>873</v>
      </c>
      <c r="F49" s="139" t="s">
        <v>856</v>
      </c>
      <c r="G49" s="758"/>
      <c r="H49" s="759"/>
      <c r="I49" s="758"/>
      <c r="J49" s="759"/>
      <c r="K49" s="423"/>
      <c r="X49" s="42" t="n">
        <v>0</v>
      </c>
    </row>
    <row r="50" s="42" customFormat="true" ht="11.25" hidden="true" customHeight="true" outlineLevel="0" collapsed="false">
      <c r="A50" s="745"/>
      <c r="B50" s="49"/>
      <c r="D50" s="756" t="s">
        <v>874</v>
      </c>
      <c r="E50" s="764" t="s">
        <v>875</v>
      </c>
      <c r="F50" s="139" t="s">
        <v>856</v>
      </c>
      <c r="G50" s="758"/>
      <c r="H50" s="759"/>
      <c r="I50" s="758"/>
      <c r="J50" s="759"/>
      <c r="K50" s="423"/>
      <c r="X50" s="42" t="n">
        <v>0</v>
      </c>
    </row>
    <row r="51" s="42" customFormat="true" ht="11.25" hidden="true" customHeight="true" outlineLevel="0" collapsed="false">
      <c r="A51" s="745"/>
      <c r="B51" s="49"/>
      <c r="D51" s="756" t="s">
        <v>876</v>
      </c>
      <c r="E51" s="764" t="s">
        <v>877</v>
      </c>
      <c r="F51" s="139" t="s">
        <v>856</v>
      </c>
      <c r="G51" s="758"/>
      <c r="H51" s="759"/>
      <c r="I51" s="758"/>
      <c r="J51" s="759"/>
      <c r="K51" s="423"/>
      <c r="X51" s="42" t="n">
        <v>0</v>
      </c>
    </row>
    <row r="52" s="42" customFormat="true" ht="45" hidden="true" customHeight="true" outlineLevel="0" collapsed="false">
      <c r="A52" s="745"/>
      <c r="B52" s="49"/>
      <c r="D52" s="756" t="s">
        <v>109</v>
      </c>
      <c r="E52" s="766" t="s">
        <v>878</v>
      </c>
      <c r="F52" s="139" t="s">
        <v>856</v>
      </c>
      <c r="G52" s="758"/>
      <c r="H52" s="759"/>
      <c r="I52" s="758"/>
      <c r="J52" s="759"/>
      <c r="K52" s="423"/>
      <c r="X52" s="42" t="n">
        <v>0</v>
      </c>
    </row>
    <row r="53" s="42" customFormat="true" ht="11.25" hidden="true" customHeight="true" outlineLevel="0" collapsed="false">
      <c r="A53" s="745"/>
      <c r="B53" s="49"/>
      <c r="D53" s="756" t="s">
        <v>310</v>
      </c>
      <c r="E53" s="764" t="s">
        <v>867</v>
      </c>
      <c r="F53" s="139" t="s">
        <v>856</v>
      </c>
      <c r="G53" s="758"/>
      <c r="H53" s="759"/>
      <c r="I53" s="758"/>
      <c r="J53" s="759"/>
      <c r="K53" s="423"/>
      <c r="X53" s="42" t="n">
        <v>0</v>
      </c>
    </row>
    <row r="54" s="42" customFormat="true" ht="11.25" hidden="true" customHeight="true" outlineLevel="0" collapsed="false">
      <c r="A54" s="745"/>
      <c r="B54" s="49"/>
      <c r="D54" s="756" t="s">
        <v>879</v>
      </c>
      <c r="E54" s="764" t="s">
        <v>868</v>
      </c>
      <c r="F54" s="139" t="s">
        <v>856</v>
      </c>
      <c r="G54" s="758"/>
      <c r="H54" s="759"/>
      <c r="I54" s="758"/>
      <c r="J54" s="759"/>
      <c r="K54" s="423"/>
      <c r="X54" s="42" t="n">
        <v>0</v>
      </c>
    </row>
    <row r="55" s="42" customFormat="true" ht="11.25" hidden="true" customHeight="true" outlineLevel="0" collapsed="false">
      <c r="A55" s="745"/>
      <c r="B55" s="49"/>
      <c r="D55" s="756" t="s">
        <v>880</v>
      </c>
      <c r="E55" s="764" t="s">
        <v>869</v>
      </c>
      <c r="F55" s="139" t="s">
        <v>856</v>
      </c>
      <c r="G55" s="758"/>
      <c r="H55" s="759"/>
      <c r="I55" s="758"/>
      <c r="J55" s="759"/>
      <c r="K55" s="423"/>
      <c r="X55" s="42" t="n">
        <v>0</v>
      </c>
    </row>
    <row r="56" s="42" customFormat="true" ht="11.25" hidden="true" customHeight="true" outlineLevel="0" collapsed="false">
      <c r="A56" s="745"/>
      <c r="B56" s="49"/>
      <c r="D56" s="756" t="s">
        <v>881</v>
      </c>
      <c r="E56" s="767" t="s">
        <v>871</v>
      </c>
      <c r="F56" s="139" t="s">
        <v>856</v>
      </c>
      <c r="G56" s="758"/>
      <c r="H56" s="759"/>
      <c r="I56" s="758"/>
      <c r="J56" s="759"/>
      <c r="K56" s="423"/>
      <c r="X56" s="42" t="n">
        <v>0</v>
      </c>
    </row>
    <row r="57" s="42" customFormat="true" ht="11.25" hidden="true" customHeight="true" outlineLevel="0" collapsed="false">
      <c r="A57" s="745"/>
      <c r="B57" s="49"/>
      <c r="D57" s="756" t="s">
        <v>882</v>
      </c>
      <c r="E57" s="767" t="s">
        <v>873</v>
      </c>
      <c r="F57" s="139" t="s">
        <v>856</v>
      </c>
      <c r="G57" s="758"/>
      <c r="H57" s="759"/>
      <c r="I57" s="758"/>
      <c r="J57" s="759"/>
      <c r="K57" s="423"/>
      <c r="X57" s="42" t="n">
        <v>0</v>
      </c>
    </row>
    <row r="58" s="42" customFormat="true" ht="11.25" hidden="true" customHeight="true" outlineLevel="0" collapsed="false">
      <c r="A58" s="745"/>
      <c r="B58" s="49"/>
      <c r="D58" s="756" t="s">
        <v>883</v>
      </c>
      <c r="E58" s="764" t="s">
        <v>875</v>
      </c>
      <c r="F58" s="139" t="s">
        <v>856</v>
      </c>
      <c r="G58" s="758"/>
      <c r="H58" s="759"/>
      <c r="I58" s="758"/>
      <c r="J58" s="759"/>
      <c r="K58" s="423"/>
      <c r="X58" s="42" t="n">
        <v>0</v>
      </c>
    </row>
    <row r="59" s="42" customFormat="true" ht="11.25" hidden="true" customHeight="true" outlineLevel="0" collapsed="false">
      <c r="A59" s="745"/>
      <c r="B59" s="49"/>
      <c r="D59" s="756" t="s">
        <v>884</v>
      </c>
      <c r="E59" s="764" t="s">
        <v>877</v>
      </c>
      <c r="F59" s="139" t="s">
        <v>856</v>
      </c>
      <c r="G59" s="758"/>
      <c r="H59" s="759"/>
      <c r="I59" s="758"/>
      <c r="J59" s="759"/>
      <c r="K59" s="423"/>
      <c r="X59" s="42" t="n">
        <v>0</v>
      </c>
    </row>
    <row r="60" s="42" customFormat="true" ht="33.75" hidden="true" customHeight="true" outlineLevel="0" collapsed="false">
      <c r="A60" s="745"/>
      <c r="B60" s="49"/>
      <c r="D60" s="756" t="s">
        <v>90</v>
      </c>
      <c r="E60" s="766" t="s">
        <v>885</v>
      </c>
      <c r="F60" s="768" t="s">
        <v>555</v>
      </c>
      <c r="G60" s="667"/>
      <c r="H60" s="759"/>
      <c r="I60" s="667"/>
      <c r="J60" s="759"/>
      <c r="K60" s="485" t="s">
        <v>886</v>
      </c>
      <c r="X60" s="42" t="n">
        <v>0</v>
      </c>
    </row>
    <row r="61" s="42" customFormat="true" ht="33.75" hidden="true" customHeight="true" outlineLevel="0" collapsed="false">
      <c r="A61" s="745"/>
      <c r="B61" s="49"/>
      <c r="D61" s="756" t="s">
        <v>91</v>
      </c>
      <c r="E61" s="766" t="s">
        <v>887</v>
      </c>
      <c r="F61" s="769" t="s">
        <v>817</v>
      </c>
      <c r="G61" s="758"/>
      <c r="H61" s="759"/>
      <c r="I61" s="758"/>
      <c r="J61" s="759"/>
      <c r="K61" s="423"/>
      <c r="X61" s="42" t="n">
        <v>0</v>
      </c>
    </row>
    <row r="62" s="42" customFormat="true" ht="22.5" hidden="true" customHeight="true" outlineLevel="0" collapsed="false">
      <c r="A62" s="745"/>
      <c r="B62" s="49" t="s">
        <v>585</v>
      </c>
      <c r="D62" s="756" t="s">
        <v>110</v>
      </c>
      <c r="E62" s="766" t="s">
        <v>888</v>
      </c>
      <c r="F62" s="769" t="s">
        <v>303</v>
      </c>
      <c r="G62" s="408"/>
      <c r="H62" s="759"/>
      <c r="I62" s="408"/>
      <c r="J62" s="759"/>
      <c r="K62" s="423" t="s">
        <v>628</v>
      </c>
      <c r="X62" s="42" t="n">
        <v>0</v>
      </c>
    </row>
    <row r="63" s="42" customFormat="true" ht="45" hidden="true" customHeight="true" outlineLevel="0" collapsed="false">
      <c r="A63" s="745"/>
      <c r="B63" s="49" t="s">
        <v>585</v>
      </c>
      <c r="D63" s="756" t="s">
        <v>889</v>
      </c>
      <c r="E63" s="764" t="s">
        <v>890</v>
      </c>
      <c r="F63" s="768" t="s">
        <v>303</v>
      </c>
      <c r="G63" s="408"/>
      <c r="H63" s="759"/>
      <c r="I63" s="408"/>
      <c r="J63" s="759"/>
      <c r="K63" s="423" t="s">
        <v>628</v>
      </c>
      <c r="X63" s="42" t="n">
        <v>0</v>
      </c>
    </row>
    <row r="64" s="42" customFormat="true" ht="11.25" hidden="false" customHeight="true" outlineLevel="0" collapsed="false">
      <c r="A64" s="117"/>
      <c r="B64" s="49"/>
      <c r="D64" s="340"/>
      <c r="E64" s="750"/>
      <c r="X64" s="42" t="n">
        <v>11</v>
      </c>
    </row>
    <row r="65" s="42" customFormat="true" ht="22.5" hidden="true" customHeight="true" outlineLevel="0" collapsed="false">
      <c r="A65" s="745" t="s">
        <v>891</v>
      </c>
      <c r="B65" s="49"/>
      <c r="D65" s="756" t="n">
        <v>1</v>
      </c>
      <c r="E65" s="770" t="s">
        <v>892</v>
      </c>
      <c r="F65" s="771" t="s">
        <v>807</v>
      </c>
      <c r="G65" s="761"/>
      <c r="H65" s="772"/>
      <c r="I65" s="761"/>
      <c r="J65" s="772"/>
      <c r="K65" s="481" t="s">
        <v>893</v>
      </c>
      <c r="X65" s="42" t="n">
        <v>0</v>
      </c>
    </row>
    <row r="66" s="42" customFormat="true" ht="56.25" hidden="true" customHeight="true" outlineLevel="0" collapsed="false">
      <c r="A66" s="745"/>
      <c r="B66" s="49"/>
      <c r="D66" s="773" t="s">
        <v>108</v>
      </c>
      <c r="E66" s="629" t="s">
        <v>894</v>
      </c>
      <c r="F66" s="139" t="s">
        <v>543</v>
      </c>
      <c r="G66" s="139" t="s">
        <v>543</v>
      </c>
      <c r="H66" s="751"/>
      <c r="I66" s="139" t="s">
        <v>543</v>
      </c>
      <c r="J66" s="751"/>
      <c r="K66" s="423"/>
      <c r="X66" s="42" t="n">
        <v>0</v>
      </c>
    </row>
    <row r="67" s="42" customFormat="true" ht="33.75" hidden="true" customHeight="true" outlineLevel="0" collapsed="false">
      <c r="A67" s="745"/>
      <c r="B67" s="49"/>
      <c r="D67" s="773" t="s">
        <v>706</v>
      </c>
      <c r="E67" s="577" t="s">
        <v>895</v>
      </c>
      <c r="F67" s="139" t="s">
        <v>859</v>
      </c>
      <c r="G67" s="720"/>
      <c r="H67" s="751"/>
      <c r="I67" s="720"/>
      <c r="J67" s="751"/>
      <c r="K67" s="423"/>
      <c r="X67" s="42" t="n">
        <v>0</v>
      </c>
    </row>
    <row r="68" s="42" customFormat="true" ht="22.5" hidden="true" customHeight="true" outlineLevel="0" collapsed="false">
      <c r="A68" s="745"/>
      <c r="B68" s="49"/>
      <c r="D68" s="773" t="s">
        <v>304</v>
      </c>
      <c r="E68" s="577" t="s">
        <v>896</v>
      </c>
      <c r="F68" s="139" t="s">
        <v>859</v>
      </c>
      <c r="G68" s="720"/>
      <c r="H68" s="751"/>
      <c r="I68" s="720"/>
      <c r="J68" s="751"/>
      <c r="K68" s="423"/>
      <c r="X68" s="42" t="n">
        <v>0</v>
      </c>
    </row>
    <row r="69" s="42" customFormat="true" ht="22.5" hidden="true" customHeight="true" outlineLevel="0" collapsed="false">
      <c r="A69" s="745"/>
      <c r="B69" s="49"/>
      <c r="D69" s="773" t="s">
        <v>307</v>
      </c>
      <c r="E69" s="577" t="s">
        <v>897</v>
      </c>
      <c r="F69" s="768" t="s">
        <v>555</v>
      </c>
      <c r="G69" s="667"/>
      <c r="H69" s="751"/>
      <c r="I69" s="667"/>
      <c r="J69" s="751"/>
      <c r="K69" s="423"/>
      <c r="X69" s="42" t="n">
        <v>0</v>
      </c>
    </row>
    <row r="70" s="42" customFormat="true" ht="22.5" hidden="true" customHeight="true" outlineLevel="0" collapsed="false">
      <c r="A70" s="745"/>
      <c r="B70" s="49"/>
      <c r="D70" s="773" t="s">
        <v>726</v>
      </c>
      <c r="E70" s="577" t="s">
        <v>898</v>
      </c>
      <c r="F70" s="768" t="s">
        <v>555</v>
      </c>
      <c r="G70" s="667"/>
      <c r="H70" s="751"/>
      <c r="I70" s="667"/>
      <c r="J70" s="751"/>
      <c r="K70" s="423"/>
      <c r="X70" s="42" t="n">
        <v>0</v>
      </c>
    </row>
    <row r="71" s="42" customFormat="true" ht="22.5" hidden="true" customHeight="true" outlineLevel="0" collapsed="false">
      <c r="A71" s="745"/>
      <c r="B71" s="49"/>
      <c r="D71" s="756" t="s">
        <v>88</v>
      </c>
      <c r="E71" s="766" t="s">
        <v>899</v>
      </c>
      <c r="F71" s="139" t="s">
        <v>859</v>
      </c>
      <c r="G71" s="630"/>
      <c r="H71" s="755"/>
      <c r="I71" s="630"/>
      <c r="J71" s="755"/>
      <c r="K71" s="485"/>
      <c r="X71" s="42" t="n">
        <v>0</v>
      </c>
    </row>
    <row r="72" s="42" customFormat="true" ht="56.25" hidden="true" customHeight="true" outlineLevel="0" collapsed="false">
      <c r="A72" s="745"/>
      <c r="B72" s="49"/>
      <c r="D72" s="756" t="s">
        <v>89</v>
      </c>
      <c r="E72" s="766" t="s">
        <v>900</v>
      </c>
      <c r="F72" s="768" t="s">
        <v>555</v>
      </c>
      <c r="G72" s="667"/>
      <c r="H72" s="759"/>
      <c r="I72" s="667"/>
      <c r="J72" s="759"/>
      <c r="K72" s="485"/>
      <c r="X72" s="42" t="n">
        <v>0</v>
      </c>
    </row>
    <row r="73" s="42" customFormat="true" ht="33.75" hidden="true" customHeight="true" outlineLevel="0" collapsed="false">
      <c r="A73" s="745"/>
      <c r="B73" s="49"/>
      <c r="D73" s="756" t="s">
        <v>109</v>
      </c>
      <c r="E73" s="766" t="s">
        <v>901</v>
      </c>
      <c r="F73" s="769" t="s">
        <v>817</v>
      </c>
      <c r="G73" s="758"/>
      <c r="H73" s="759"/>
      <c r="I73" s="758"/>
      <c r="J73" s="759"/>
      <c r="K73" s="423"/>
      <c r="X73" s="42" t="n">
        <v>0</v>
      </c>
    </row>
    <row r="74" s="42" customFormat="true" ht="22.5" hidden="true" customHeight="true" outlineLevel="0" collapsed="false">
      <c r="A74" s="745"/>
      <c r="B74" s="49" t="s">
        <v>585</v>
      </c>
      <c r="D74" s="756" t="s">
        <v>90</v>
      </c>
      <c r="E74" s="766" t="s">
        <v>902</v>
      </c>
      <c r="F74" s="769" t="s">
        <v>303</v>
      </c>
      <c r="G74" s="408"/>
      <c r="H74" s="759"/>
      <c r="I74" s="408"/>
      <c r="J74" s="759"/>
      <c r="K74" s="423" t="s">
        <v>628</v>
      </c>
      <c r="X74" s="42" t="n">
        <v>0</v>
      </c>
    </row>
    <row r="75" s="42" customFormat="true" ht="45" hidden="true" customHeight="true" outlineLevel="0" collapsed="false">
      <c r="A75" s="745"/>
      <c r="B75" s="49" t="s">
        <v>585</v>
      </c>
      <c r="D75" s="756" t="s">
        <v>649</v>
      </c>
      <c r="E75" s="764" t="s">
        <v>903</v>
      </c>
      <c r="F75" s="768" t="s">
        <v>303</v>
      </c>
      <c r="G75" s="408"/>
      <c r="H75" s="759"/>
      <c r="I75" s="408"/>
      <c r="J75" s="759"/>
      <c r="K75" s="423" t="s">
        <v>628</v>
      </c>
      <c r="X75" s="42" t="n">
        <v>0</v>
      </c>
    </row>
    <row r="76" s="42" customFormat="true" ht="11.25" hidden="false" customHeight="true" outlineLevel="0" collapsed="false">
      <c r="A76" s="117"/>
      <c r="B76" s="49"/>
      <c r="D76" s="340"/>
      <c r="E76" s="750"/>
      <c r="X76" s="42" t="n">
        <v>11</v>
      </c>
    </row>
    <row r="77" s="42" customFormat="true" ht="11.25" hidden="false" customHeight="true" outlineLevel="0" collapsed="false">
      <c r="A77" s="745" t="s">
        <v>904</v>
      </c>
      <c r="B77" s="49"/>
      <c r="D77" s="756" t="n">
        <v>1</v>
      </c>
      <c r="E77" s="766" t="s">
        <v>905</v>
      </c>
      <c r="F77" s="768" t="s">
        <v>807</v>
      </c>
      <c r="G77" s="774"/>
      <c r="H77" s="759"/>
      <c r="I77" s="774"/>
      <c r="J77" s="759"/>
      <c r="K77" s="423" t="s">
        <v>906</v>
      </c>
      <c r="X77" s="42" t="n">
        <v>0</v>
      </c>
    </row>
    <row r="78" s="42" customFormat="true" ht="11.25" hidden="false" customHeight="true" outlineLevel="0" collapsed="false">
      <c r="A78" s="745"/>
      <c r="B78" s="49"/>
      <c r="D78" s="756" t="s">
        <v>108</v>
      </c>
      <c r="E78" s="766" t="s">
        <v>907</v>
      </c>
      <c r="F78" s="768" t="s">
        <v>807</v>
      </c>
      <c r="G78" s="774"/>
      <c r="H78" s="759"/>
      <c r="I78" s="774"/>
      <c r="J78" s="759"/>
      <c r="K78" s="423" t="s">
        <v>908</v>
      </c>
      <c r="X78" s="42" t="n">
        <v>0</v>
      </c>
    </row>
    <row r="79" s="42" customFormat="true" ht="22.5" hidden="false" customHeight="true" outlineLevel="0" collapsed="false">
      <c r="A79" s="745"/>
      <c r="B79" s="49"/>
      <c r="D79" s="756" t="s">
        <v>88</v>
      </c>
      <c r="E79" s="762" t="s">
        <v>909</v>
      </c>
      <c r="F79" s="139" t="s">
        <v>856</v>
      </c>
      <c r="G79" s="774"/>
      <c r="H79" s="759"/>
      <c r="I79" s="774"/>
      <c r="J79" s="759"/>
      <c r="K79" s="423" t="s">
        <v>910</v>
      </c>
      <c r="X79" s="42" t="n">
        <v>0</v>
      </c>
    </row>
    <row r="80" s="42" customFormat="true" ht="11.25" hidden="false" customHeight="true" outlineLevel="0" collapsed="false">
      <c r="A80" s="745"/>
      <c r="B80" s="49"/>
      <c r="D80" s="756" t="s">
        <v>321</v>
      </c>
      <c r="E80" s="757" t="s">
        <v>911</v>
      </c>
      <c r="F80" s="139" t="s">
        <v>856</v>
      </c>
      <c r="G80" s="774"/>
      <c r="H80" s="759"/>
      <c r="I80" s="774"/>
      <c r="J80" s="759"/>
      <c r="K80" s="423"/>
      <c r="X80" s="42" t="n">
        <v>0</v>
      </c>
    </row>
    <row r="81" s="42" customFormat="true" ht="11.25" hidden="false" customHeight="true" outlineLevel="0" collapsed="false">
      <c r="A81" s="745"/>
      <c r="B81" s="49"/>
      <c r="D81" s="756" t="s">
        <v>329</v>
      </c>
      <c r="E81" s="757" t="s">
        <v>912</v>
      </c>
      <c r="F81" s="139" t="s">
        <v>856</v>
      </c>
      <c r="G81" s="774"/>
      <c r="H81" s="759"/>
      <c r="I81" s="774"/>
      <c r="J81" s="759"/>
      <c r="K81" s="423"/>
      <c r="X81" s="42" t="n">
        <v>0</v>
      </c>
    </row>
    <row r="82" s="42" customFormat="true" ht="11.25" hidden="false" customHeight="true" outlineLevel="0" collapsed="false">
      <c r="A82" s="745"/>
      <c r="B82" s="49"/>
      <c r="D82" s="756" t="s">
        <v>331</v>
      </c>
      <c r="E82" s="757" t="s">
        <v>913</v>
      </c>
      <c r="F82" s="139" t="s">
        <v>856</v>
      </c>
      <c r="G82" s="774"/>
      <c r="H82" s="759"/>
      <c r="I82" s="774"/>
      <c r="J82" s="759"/>
      <c r="K82" s="423"/>
      <c r="X82" s="42" t="n">
        <v>0</v>
      </c>
    </row>
    <row r="83" s="42" customFormat="true" ht="11.25" hidden="false" customHeight="true" outlineLevel="0" collapsed="false">
      <c r="A83" s="745"/>
      <c r="B83" s="49"/>
      <c r="D83" s="756" t="s">
        <v>333</v>
      </c>
      <c r="E83" s="757" t="s">
        <v>914</v>
      </c>
      <c r="F83" s="139" t="s">
        <v>856</v>
      </c>
      <c r="G83" s="774"/>
      <c r="H83" s="759"/>
      <c r="I83" s="774"/>
      <c r="J83" s="759"/>
      <c r="K83" s="423"/>
      <c r="X83" s="42" t="n">
        <v>0</v>
      </c>
    </row>
    <row r="84" s="42" customFormat="true" ht="11.25" hidden="false" customHeight="true" outlineLevel="0" collapsed="false">
      <c r="A84" s="745"/>
      <c r="B84" s="49"/>
      <c r="D84" s="756" t="s">
        <v>915</v>
      </c>
      <c r="E84" s="757" t="s">
        <v>916</v>
      </c>
      <c r="F84" s="139" t="s">
        <v>856</v>
      </c>
      <c r="G84" s="774"/>
      <c r="H84" s="759"/>
      <c r="I84" s="774"/>
      <c r="J84" s="759"/>
      <c r="K84" s="423"/>
      <c r="X84" s="42" t="n">
        <v>0</v>
      </c>
    </row>
    <row r="85" s="42" customFormat="true" ht="11.25" hidden="false" customHeight="true" outlineLevel="0" collapsed="false">
      <c r="A85" s="745"/>
      <c r="B85" s="49"/>
      <c r="D85" s="756" t="s">
        <v>917</v>
      </c>
      <c r="E85" s="757" t="s">
        <v>918</v>
      </c>
      <c r="F85" s="139" t="s">
        <v>856</v>
      </c>
      <c r="G85" s="774"/>
      <c r="H85" s="759"/>
      <c r="I85" s="774"/>
      <c r="J85" s="759"/>
      <c r="K85" s="423"/>
      <c r="X85" s="42" t="n">
        <v>0</v>
      </c>
    </row>
    <row r="86" s="42" customFormat="true" ht="11.25" hidden="false" customHeight="true" outlineLevel="0" collapsed="false">
      <c r="A86" s="745"/>
      <c r="B86" s="49"/>
      <c r="D86" s="756" t="s">
        <v>919</v>
      </c>
      <c r="E86" s="757" t="s">
        <v>920</v>
      </c>
      <c r="F86" s="139" t="s">
        <v>856</v>
      </c>
      <c r="G86" s="774"/>
      <c r="H86" s="759"/>
      <c r="I86" s="774"/>
      <c r="J86" s="759"/>
      <c r="K86" s="423"/>
      <c r="X86" s="42" t="n">
        <v>0</v>
      </c>
    </row>
    <row r="87" s="42" customFormat="true" ht="45" hidden="false" customHeight="true" outlineLevel="0" collapsed="false">
      <c r="A87" s="745"/>
      <c r="B87" s="49"/>
      <c r="D87" s="756" t="s">
        <v>89</v>
      </c>
      <c r="E87" s="766" t="s">
        <v>921</v>
      </c>
      <c r="F87" s="139" t="s">
        <v>856</v>
      </c>
      <c r="G87" s="774"/>
      <c r="H87" s="759"/>
      <c r="I87" s="774"/>
      <c r="J87" s="759"/>
      <c r="K87" s="423" t="s">
        <v>922</v>
      </c>
      <c r="X87" s="42" t="n">
        <v>0</v>
      </c>
    </row>
    <row r="88" s="42" customFormat="true" ht="11.25" hidden="false" customHeight="true" outlineLevel="0" collapsed="false">
      <c r="A88" s="745"/>
      <c r="B88" s="49"/>
      <c r="D88" s="756" t="s">
        <v>751</v>
      </c>
      <c r="E88" s="757" t="s">
        <v>911</v>
      </c>
      <c r="F88" s="139" t="s">
        <v>856</v>
      </c>
      <c r="G88" s="774"/>
      <c r="H88" s="759"/>
      <c r="I88" s="774"/>
      <c r="J88" s="759"/>
      <c r="K88" s="423"/>
      <c r="X88" s="42" t="n">
        <v>0</v>
      </c>
    </row>
    <row r="89" s="42" customFormat="true" ht="11.25" hidden="false" customHeight="true" outlineLevel="0" collapsed="false">
      <c r="A89" s="745"/>
      <c r="B89" s="49"/>
      <c r="D89" s="756" t="s">
        <v>793</v>
      </c>
      <c r="E89" s="757" t="s">
        <v>912</v>
      </c>
      <c r="F89" s="139" t="s">
        <v>856</v>
      </c>
      <c r="G89" s="774"/>
      <c r="H89" s="759"/>
      <c r="I89" s="774"/>
      <c r="J89" s="759"/>
      <c r="K89" s="423"/>
      <c r="X89" s="42" t="n">
        <v>0</v>
      </c>
    </row>
    <row r="90" s="42" customFormat="true" ht="11.25" hidden="false" customHeight="true" outlineLevel="0" collapsed="false">
      <c r="A90" s="745"/>
      <c r="B90" s="49"/>
      <c r="D90" s="756" t="s">
        <v>796</v>
      </c>
      <c r="E90" s="757" t="s">
        <v>913</v>
      </c>
      <c r="F90" s="139" t="s">
        <v>856</v>
      </c>
      <c r="G90" s="774"/>
      <c r="H90" s="759"/>
      <c r="I90" s="774"/>
      <c r="J90" s="759"/>
      <c r="K90" s="423"/>
      <c r="X90" s="42" t="n">
        <v>0</v>
      </c>
    </row>
    <row r="91" s="42" customFormat="true" ht="11.25" hidden="false" customHeight="true" outlineLevel="0" collapsed="false">
      <c r="A91" s="745"/>
      <c r="B91" s="49"/>
      <c r="D91" s="756" t="s">
        <v>874</v>
      </c>
      <c r="E91" s="757" t="s">
        <v>914</v>
      </c>
      <c r="F91" s="139" t="s">
        <v>856</v>
      </c>
      <c r="G91" s="774"/>
      <c r="H91" s="759"/>
      <c r="I91" s="774"/>
      <c r="J91" s="759"/>
      <c r="K91" s="423"/>
      <c r="X91" s="42" t="n">
        <v>0</v>
      </c>
    </row>
    <row r="92" s="42" customFormat="true" ht="11.25" hidden="false" customHeight="true" outlineLevel="0" collapsed="false">
      <c r="A92" s="745"/>
      <c r="B92" s="49"/>
      <c r="D92" s="756" t="s">
        <v>876</v>
      </c>
      <c r="E92" s="757" t="s">
        <v>916</v>
      </c>
      <c r="F92" s="139" t="s">
        <v>856</v>
      </c>
      <c r="G92" s="774"/>
      <c r="H92" s="759"/>
      <c r="I92" s="774"/>
      <c r="J92" s="759"/>
      <c r="K92" s="423"/>
      <c r="X92" s="42" t="n">
        <v>0</v>
      </c>
    </row>
    <row r="93" s="42" customFormat="true" ht="11.25" hidden="false" customHeight="true" outlineLevel="0" collapsed="false">
      <c r="A93" s="745"/>
      <c r="B93" s="49"/>
      <c r="D93" s="756" t="s">
        <v>923</v>
      </c>
      <c r="E93" s="757" t="s">
        <v>918</v>
      </c>
      <c r="F93" s="139" t="s">
        <v>856</v>
      </c>
      <c r="G93" s="774"/>
      <c r="H93" s="759"/>
      <c r="I93" s="774"/>
      <c r="J93" s="759"/>
      <c r="K93" s="423"/>
      <c r="X93" s="42" t="n">
        <v>0</v>
      </c>
    </row>
    <row r="94" s="42" customFormat="true" ht="11.25" hidden="false" customHeight="true" outlineLevel="0" collapsed="false">
      <c r="A94" s="745"/>
      <c r="B94" s="49"/>
      <c r="D94" s="756" t="s">
        <v>924</v>
      </c>
      <c r="E94" s="757" t="s">
        <v>920</v>
      </c>
      <c r="F94" s="139" t="s">
        <v>856</v>
      </c>
      <c r="G94" s="774"/>
      <c r="H94" s="759"/>
      <c r="I94" s="774"/>
      <c r="J94" s="759"/>
      <c r="K94" s="423"/>
      <c r="X94" s="42" t="n">
        <v>0</v>
      </c>
    </row>
    <row r="95" s="42" customFormat="true" ht="24.75" hidden="false" customHeight="true" outlineLevel="0" collapsed="false">
      <c r="A95" s="745"/>
      <c r="B95" s="49"/>
      <c r="D95" s="756" t="s">
        <v>109</v>
      </c>
      <c r="E95" s="766" t="s">
        <v>925</v>
      </c>
      <c r="F95" s="775" t="s">
        <v>555</v>
      </c>
      <c r="G95" s="720"/>
      <c r="H95" s="759"/>
      <c r="I95" s="720"/>
      <c r="J95" s="759"/>
      <c r="K95" s="423" t="s">
        <v>926</v>
      </c>
      <c r="X95" s="42" t="n">
        <v>0</v>
      </c>
    </row>
    <row r="96" s="42" customFormat="true" ht="33.75" hidden="false" customHeight="true" outlineLevel="0" collapsed="false">
      <c r="A96" s="745"/>
      <c r="B96" s="49"/>
      <c r="D96" s="756" t="s">
        <v>90</v>
      </c>
      <c r="E96" s="766" t="s">
        <v>927</v>
      </c>
      <c r="F96" s="769" t="s">
        <v>817</v>
      </c>
      <c r="G96" s="776"/>
      <c r="H96" s="759"/>
      <c r="I96" s="776"/>
      <c r="J96" s="759"/>
      <c r="K96" s="423"/>
      <c r="X96" s="42" t="n">
        <v>0</v>
      </c>
    </row>
    <row r="97" s="42" customFormat="true" ht="22.5" hidden="false" customHeight="true" outlineLevel="0" collapsed="false">
      <c r="A97" s="745"/>
      <c r="B97" s="49" t="s">
        <v>585</v>
      </c>
      <c r="D97" s="756" t="s">
        <v>91</v>
      </c>
      <c r="E97" s="766" t="s">
        <v>928</v>
      </c>
      <c r="F97" s="769" t="s">
        <v>303</v>
      </c>
      <c r="G97" s="723"/>
      <c r="H97" s="759"/>
      <c r="I97" s="723"/>
      <c r="J97" s="759"/>
      <c r="K97" s="423" t="s">
        <v>628</v>
      </c>
      <c r="X97" s="42" t="n">
        <v>0</v>
      </c>
    </row>
    <row r="98" s="42" customFormat="true" ht="45" hidden="false" customHeight="true" outlineLevel="0" collapsed="false">
      <c r="A98" s="745"/>
      <c r="B98" s="49" t="s">
        <v>585</v>
      </c>
      <c r="D98" s="756" t="s">
        <v>929</v>
      </c>
      <c r="E98" s="764" t="s">
        <v>930</v>
      </c>
      <c r="F98" s="768" t="s">
        <v>303</v>
      </c>
      <c r="G98" s="723"/>
      <c r="H98" s="759"/>
      <c r="I98" s="723"/>
      <c r="J98" s="759"/>
      <c r="K98" s="423" t="s">
        <v>628</v>
      </c>
      <c r="X98" s="42" t="n">
        <v>0</v>
      </c>
    </row>
    <row r="99" s="42" customFormat="true" ht="95.25" hidden="false" customHeight="true" outlineLevel="0" collapsed="false">
      <c r="A99" s="745"/>
      <c r="B99" s="49" t="s">
        <v>585</v>
      </c>
      <c r="D99" s="756" t="s">
        <v>110</v>
      </c>
      <c r="E99" s="766" t="s">
        <v>931</v>
      </c>
      <c r="F99" s="768" t="s">
        <v>303</v>
      </c>
      <c r="G99" s="723"/>
      <c r="H99" s="759"/>
      <c r="I99" s="723"/>
      <c r="J99" s="759"/>
      <c r="K99" s="423" t="s">
        <v>628</v>
      </c>
      <c r="X99" s="42" t="n">
        <v>0</v>
      </c>
    </row>
    <row r="100" s="42" customFormat="true" ht="22.5" hidden="false" customHeight="true" outlineLevel="0" collapsed="false">
      <c r="A100" s="745"/>
      <c r="B100" s="49" t="s">
        <v>585</v>
      </c>
      <c r="D100" s="756" t="s">
        <v>147</v>
      </c>
      <c r="E100" s="766" t="s">
        <v>932</v>
      </c>
      <c r="F100" s="768" t="s">
        <v>303</v>
      </c>
      <c r="G100" s="723"/>
      <c r="H100" s="759"/>
      <c r="I100" s="723"/>
      <c r="J100" s="759"/>
      <c r="K100" s="423" t="s">
        <v>628</v>
      </c>
      <c r="X100" s="42" t="n">
        <v>0</v>
      </c>
    </row>
    <row r="101" s="42" customFormat="true" ht="11.25" hidden="false" customHeight="true" outlineLevel="0" collapsed="false">
      <c r="A101" s="117"/>
      <c r="B101" s="49"/>
      <c r="D101" s="340"/>
      <c r="E101" s="750"/>
      <c r="X101" s="42" t="n">
        <v>11</v>
      </c>
    </row>
    <row r="102" customFormat="false" ht="22.5" hidden="true" customHeight="true" outlineLevel="0" collapsed="false">
      <c r="A102" s="117" t="s">
        <v>80</v>
      </c>
      <c r="B102" s="49" t="n">
        <v>0</v>
      </c>
      <c r="C102" s="42" t="n">
        <v>3</v>
      </c>
      <c r="D102" s="42" t="n">
        <v>7</v>
      </c>
      <c r="E102" s="42" t="n">
        <v>69</v>
      </c>
      <c r="F102" s="42" t="n">
        <v>10</v>
      </c>
      <c r="G102" s="42" t="n">
        <v>0</v>
      </c>
      <c r="H102" s="42" t="n">
        <v>0</v>
      </c>
      <c r="I102" s="42" t="n">
        <v>43</v>
      </c>
      <c r="J102" s="42" t="n">
        <v>43</v>
      </c>
      <c r="K102" s="42" t="n">
        <v>73</v>
      </c>
      <c r="L102" s="42" t="n">
        <v>3</v>
      </c>
      <c r="M102" s="42" t="n">
        <v>10</v>
      </c>
      <c r="N102" s="42" t="n">
        <v>10</v>
      </c>
      <c r="O102" s="42" t="n">
        <v>10</v>
      </c>
      <c r="P102" s="42" t="n">
        <v>10</v>
      </c>
      <c r="Q102" s="42" t="n">
        <v>10</v>
      </c>
      <c r="R102" s="42" t="n">
        <v>10</v>
      </c>
      <c r="S102" s="42" t="n">
        <v>10</v>
      </c>
      <c r="T102" s="42" t="n">
        <v>10</v>
      </c>
      <c r="U102" s="42" t="n">
        <v>10</v>
      </c>
      <c r="V102" s="42" t="n">
        <v>10</v>
      </c>
      <c r="W102" s="42" t="n">
        <v>10</v>
      </c>
      <c r="X102" s="42" t="n">
        <v>23</v>
      </c>
    </row>
  </sheetData>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dataValidations count="6">
    <dataValidation allowBlank="true" error="Допускается ввод не более 900 символов!" errorStyle="stop" errorTitle="Ошибка" operator="lessThanOrEqual" showDropDown="false" showErrorMessage="true" showInputMessage="true" sqref="H15:H18 J15:J18 H21:H22 J21:J22 H24 J24 H26:H27 J26:J27 H29:H30 J29:J30"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13:G14 I13:I14 G18 I18 G21:G22 I21:I22 G24 I24 G26:G27 I26:I27 G29:G30 I29:I30 G32 I32 G37 I37 G39:G40 I39:I40 G44:G59 I44:I59 G61 I61 G65 I65 G67:G68 I67:I68 G71 I71 G73 I73 G77:G94 I77:I94 G96 I96"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6:G17 I16:I17" type="whole">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3:H14 J13:J14 H19 J19 H31:H32 J31:J32 G62:G63 I62:I63 G74:G75 I74:I75 G97:G100 I97:I100" type="textLength">
      <formula1>900</formula1>
      <formula2>0</formula2>
    </dataValidation>
    <dataValidation allowBlank="true" error="Введите значение от 0 до 100%" errorStyle="stop" errorTitle="Ошибка" operator="between" showDropDown="false" showErrorMessage="true" showInputMessage="false" sqref="G31 I31 G42:G43 I42:I43 G60 I60 G69:G70 I69:I70 G72 I72 G95 I95" type="decimal">
      <formula1>0</formula1>
      <formula2>100</formula2>
    </dataValidation>
    <dataValidation allowBlank="true" error="Укажите значение вручную или выберите из списка!" errorStyle="stop" errorTitle="Ошибка" operator="between" prompt="Укажите значение вручную или выберите из списка" showDropDown="false" showErrorMessage="false" showInputMessage="true" sqref="G19 I19" type="list">
      <formula1>"Не утверждены"</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M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I13" activeCellId="0" sqref="I13"/>
    </sheetView>
  </sheetViews>
  <sheetFormatPr defaultColWidth="9.15234375" defaultRowHeight="11.25" zeroHeight="false" outlineLevelRow="0" outlineLevelCol="0"/>
  <cols>
    <col collapsed="false" customWidth="true" hidden="true" outlineLevel="0" max="1" min="1" style="177" width="6.43"/>
    <col collapsed="false" customWidth="true" hidden="true" outlineLevel="0" max="2" min="2" style="177" width="2"/>
    <col collapsed="false" customWidth="true" hidden="false" outlineLevel="0" max="3" min="3" style="177" width="3"/>
    <col collapsed="false" customWidth="true" hidden="false" outlineLevel="0" max="4" min="4" style="177" width="4"/>
    <col collapsed="false" customWidth="true" hidden="false" outlineLevel="0" max="5" min="5" style="177" width="44"/>
    <col collapsed="false" customWidth="true" hidden="false" outlineLevel="0" max="6" min="6" style="177" width="6.43"/>
    <col collapsed="false" customWidth="true" hidden="false" outlineLevel="0" max="7" min="7" style="177" width="4"/>
    <col collapsed="false" customWidth="true" hidden="false" outlineLevel="0" max="8" min="8" style="177" width="5"/>
    <col collapsed="false" customWidth="true" hidden="false" outlineLevel="0" max="9" min="9" style="177" width="52"/>
    <col collapsed="false" customWidth="true" hidden="false" outlineLevel="0" max="10" min="10" style="177" width="7"/>
    <col collapsed="false" customWidth="true" hidden="false" outlineLevel="0" max="11" min="11" style="177" width="3"/>
    <col collapsed="false" customWidth="true" hidden="false" outlineLevel="0" max="12" min="12" style="177" width="6"/>
    <col collapsed="false" customWidth="true" hidden="false" outlineLevel="0" max="13" min="13" style="177" width="56"/>
    <col collapsed="false" customWidth="true" hidden="false" outlineLevel="0" max="14" min="14" style="144" width="8"/>
    <col collapsed="false" customWidth="false" hidden="true" outlineLevel="0" max="20" min="15" style="122" width="9.15"/>
    <col collapsed="false" customWidth="false" hidden="true" outlineLevel="0" max="24" min="21" style="100" width="9.15"/>
    <col collapsed="false" customWidth="false" hidden="true" outlineLevel="0" max="37" min="25" style="144" width="9.15"/>
    <col collapsed="false" customWidth="true" hidden="false" outlineLevel="0" max="38" min="38" style="144" width="8"/>
    <col collapsed="false" customWidth="false" hidden="true" outlineLevel="0" max="39" min="39" style="177" width="9.15"/>
  </cols>
  <sheetData>
    <row r="1" customFormat="false" ht="11.25" hidden="true" customHeight="true" outlineLevel="0" collapsed="false">
      <c r="AM1" s="177" t="s">
        <v>14</v>
      </c>
    </row>
    <row r="2" customFormat="false" ht="11.25" hidden="true" customHeight="true" outlineLevel="0" collapsed="false">
      <c r="AM2" s="177" t="n">
        <v>0</v>
      </c>
    </row>
    <row r="3" customFormat="false" ht="11.25" hidden="false" customHeight="true" outlineLevel="0" collapsed="false">
      <c r="AM3" s="177" t="n">
        <v>11</v>
      </c>
    </row>
    <row r="4" customFormat="false" ht="35.25" hidden="false" customHeight="true" outlineLevel="0" collapsed="false">
      <c r="A4" s="100"/>
      <c r="B4" s="100"/>
      <c r="D4" s="178" t="str">
        <f aca="false">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78"/>
      <c r="F4" s="178"/>
      <c r="G4" s="178"/>
      <c r="H4" s="178"/>
      <c r="I4" s="178"/>
      <c r="J4" s="144"/>
      <c r="K4" s="144"/>
      <c r="L4" s="144"/>
      <c r="M4" s="144"/>
      <c r="AM4" s="177" t="n">
        <v>34</v>
      </c>
    </row>
    <row r="5" s="183" customFormat="true" ht="14.25" hidden="false" customHeight="true" outlineLevel="0" collapsed="false">
      <c r="A5" s="100"/>
      <c r="B5" s="100"/>
      <c r="C5" s="100"/>
      <c r="D5" s="179" t="str">
        <f aca="false">IF(org=0,"Не определено",org)</f>
        <v>Филиал ПАО "ОГК-2" - Серовская ГРЭС, г. Серов</v>
      </c>
      <c r="E5" s="179"/>
      <c r="F5" s="179"/>
      <c r="G5" s="179"/>
      <c r="H5" s="179"/>
      <c r="I5" s="179"/>
      <c r="J5" s="180"/>
      <c r="K5" s="180"/>
      <c r="L5" s="180"/>
      <c r="M5" s="180"/>
      <c r="N5" s="180"/>
      <c r="O5" s="181"/>
      <c r="P5" s="181"/>
      <c r="Q5" s="181"/>
      <c r="R5" s="181"/>
      <c r="S5" s="181"/>
      <c r="T5" s="181"/>
      <c r="U5" s="182"/>
      <c r="V5" s="182"/>
      <c r="W5" s="182"/>
      <c r="X5" s="182"/>
      <c r="Y5" s="180"/>
      <c r="Z5" s="180"/>
      <c r="AA5" s="180"/>
      <c r="AB5" s="180"/>
      <c r="AC5" s="180"/>
      <c r="AD5" s="180"/>
      <c r="AE5" s="180"/>
      <c r="AF5" s="180"/>
      <c r="AG5" s="180"/>
      <c r="AH5" s="180"/>
      <c r="AI5" s="180"/>
      <c r="AJ5" s="180"/>
      <c r="AK5" s="180"/>
      <c r="AL5" s="180"/>
      <c r="AM5" s="183" t="n">
        <v>14</v>
      </c>
    </row>
    <row r="6" s="183" customFormat="true" ht="6" hidden="false" customHeight="true" outlineLevel="0" collapsed="false">
      <c r="A6" s="43"/>
      <c r="B6" s="43"/>
      <c r="C6" s="43"/>
      <c r="D6" s="43"/>
      <c r="E6" s="43"/>
      <c r="F6" s="43"/>
      <c r="G6" s="42"/>
      <c r="H6" s="42"/>
      <c r="I6" s="42"/>
      <c r="J6" s="42"/>
      <c r="K6" s="42"/>
      <c r="N6" s="180"/>
      <c r="O6" s="181"/>
      <c r="P6" s="181"/>
      <c r="Q6" s="181"/>
      <c r="R6" s="181"/>
      <c r="S6" s="181"/>
      <c r="T6" s="181"/>
      <c r="U6" s="182"/>
      <c r="V6" s="182"/>
      <c r="W6" s="182"/>
      <c r="X6" s="182"/>
      <c r="Y6" s="180"/>
      <c r="Z6" s="180"/>
      <c r="AA6" s="180"/>
      <c r="AB6" s="180"/>
      <c r="AC6" s="180"/>
      <c r="AD6" s="180"/>
      <c r="AE6" s="180"/>
      <c r="AF6" s="180"/>
      <c r="AG6" s="180"/>
      <c r="AH6" s="180"/>
      <c r="AI6" s="180"/>
      <c r="AJ6" s="180"/>
      <c r="AK6" s="180"/>
      <c r="AL6" s="180"/>
      <c r="AM6" s="183" t="n">
        <v>6</v>
      </c>
    </row>
    <row r="7" customFormat="false" ht="45.75" hidden="true" customHeight="true" outlineLevel="0" collapsed="false">
      <c r="E7" s="184" t="str">
        <f aca="false">"1.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4"/>
      <c r="G7" s="184"/>
      <c r="H7" s="184"/>
      <c r="I7" s="184"/>
      <c r="J7" s="184"/>
      <c r="K7" s="184"/>
      <c r="L7" s="184"/>
      <c r="M7" s="184"/>
      <c r="AM7" s="177" t="n">
        <v>0</v>
      </c>
    </row>
    <row r="8" s="183" customFormat="true" ht="6" hidden="false" customHeight="true" outlineLevel="0" collapsed="false">
      <c r="A8" s="185"/>
      <c r="B8" s="185"/>
      <c r="C8" s="185"/>
      <c r="D8" s="185"/>
      <c r="E8" s="185"/>
      <c r="F8" s="185"/>
      <c r="G8" s="185"/>
      <c r="H8" s="185"/>
      <c r="I8" s="185"/>
      <c r="J8" s="185"/>
      <c r="K8" s="185"/>
      <c r="L8" s="185"/>
      <c r="N8" s="180"/>
      <c r="O8" s="181"/>
      <c r="P8" s="181"/>
      <c r="Q8" s="181"/>
      <c r="R8" s="181"/>
      <c r="S8" s="181"/>
      <c r="T8" s="181"/>
      <c r="U8" s="182"/>
      <c r="V8" s="182"/>
      <c r="W8" s="182"/>
      <c r="X8" s="182"/>
      <c r="Y8" s="180"/>
      <c r="Z8" s="180"/>
      <c r="AA8" s="180"/>
      <c r="AB8" s="180"/>
      <c r="AC8" s="180"/>
      <c r="AD8" s="180"/>
      <c r="AE8" s="180"/>
      <c r="AF8" s="180"/>
      <c r="AG8" s="180"/>
      <c r="AH8" s="180"/>
      <c r="AI8" s="180"/>
      <c r="AJ8" s="180"/>
      <c r="AK8" s="180"/>
      <c r="AL8" s="180"/>
      <c r="AM8" s="183" t="n">
        <v>6</v>
      </c>
    </row>
    <row r="9" customFormat="false" ht="18.75" hidden="false" customHeight="true" outlineLevel="0" collapsed="false">
      <c r="A9" s="74"/>
      <c r="B9" s="42"/>
      <c r="C9" s="42"/>
      <c r="D9" s="138" t="s">
        <v>103</v>
      </c>
      <c r="E9" s="138"/>
      <c r="F9" s="186" t="s">
        <v>104</v>
      </c>
      <c r="G9" s="186"/>
      <c r="H9" s="186"/>
      <c r="I9" s="186"/>
      <c r="J9" s="187" t="s">
        <v>105</v>
      </c>
      <c r="K9" s="187"/>
      <c r="L9" s="187"/>
      <c r="M9" s="187"/>
      <c r="AM9" s="177" t="n">
        <v>18</v>
      </c>
    </row>
    <row r="10" customFormat="false" ht="24" hidden="false" customHeight="true" outlineLevel="0" collapsed="false">
      <c r="A10" s="74"/>
      <c r="B10" s="43"/>
      <c r="C10" s="188"/>
      <c r="D10" s="150" t="s">
        <v>86</v>
      </c>
      <c r="E10" s="150" t="s">
        <v>87</v>
      </c>
      <c r="F10" s="150" t="s">
        <v>106</v>
      </c>
      <c r="G10" s="189" t="s">
        <v>86</v>
      </c>
      <c r="H10" s="189"/>
      <c r="I10" s="150" t="s">
        <v>87</v>
      </c>
      <c r="J10" s="150" t="s">
        <v>106</v>
      </c>
      <c r="K10" s="189" t="s">
        <v>86</v>
      </c>
      <c r="L10" s="189"/>
      <c r="M10" s="150" t="s">
        <v>87</v>
      </c>
      <c r="N10" s="190"/>
      <c r="AM10" s="177" t="n">
        <v>23</v>
      </c>
    </row>
    <row r="11" s="177" customFormat="true" ht="11.25" hidden="true" customHeight="true" outlineLevel="0" collapsed="false">
      <c r="A11" s="191"/>
      <c r="B11" s="191"/>
      <c r="C11" s="191"/>
      <c r="D11" s="192" t="s">
        <v>107</v>
      </c>
      <c r="E11" s="192" t="s">
        <v>108</v>
      </c>
      <c r="F11" s="192" t="s">
        <v>88</v>
      </c>
      <c r="G11" s="193" t="s">
        <v>89</v>
      </c>
      <c r="H11" s="193"/>
      <c r="I11" s="192" t="s">
        <v>109</v>
      </c>
      <c r="J11" s="192" t="s">
        <v>90</v>
      </c>
      <c r="K11" s="192" t="s">
        <v>91</v>
      </c>
      <c r="L11" s="192"/>
      <c r="M11" s="192" t="s">
        <v>110</v>
      </c>
      <c r="N11" s="190"/>
      <c r="O11" s="122"/>
      <c r="P11" s="122"/>
      <c r="Q11" s="122"/>
      <c r="R11" s="122"/>
      <c r="S11" s="122"/>
      <c r="T11" s="122"/>
      <c r="U11" s="100"/>
      <c r="V11" s="100"/>
      <c r="W11" s="100"/>
      <c r="X11" s="100"/>
      <c r="Y11" s="144"/>
      <c r="Z11" s="144"/>
      <c r="AA11" s="144"/>
      <c r="AB11" s="144"/>
      <c r="AC11" s="144"/>
      <c r="AD11" s="144"/>
      <c r="AE11" s="144"/>
      <c r="AF11" s="144"/>
      <c r="AG11" s="144"/>
      <c r="AH11" s="144"/>
      <c r="AI11" s="144"/>
      <c r="AJ11" s="144"/>
      <c r="AK11" s="144"/>
      <c r="AL11" s="144"/>
      <c r="AM11" s="177" t="n">
        <v>0</v>
      </c>
    </row>
    <row r="12" customFormat="false" ht="0.75" hidden="false" customHeight="true" outlineLevel="0" collapsed="false">
      <c r="A12" s="194"/>
      <c r="B12" s="43"/>
      <c r="C12" s="43"/>
      <c r="D12" s="195"/>
      <c r="E12" s="196"/>
      <c r="F12" s="196"/>
      <c r="G12" s="197"/>
      <c r="H12" s="197"/>
      <c r="I12" s="196"/>
      <c r="J12" s="196"/>
      <c r="K12" s="198"/>
      <c r="L12" s="196"/>
      <c r="M12" s="199"/>
      <c r="N12" s="190"/>
      <c r="O12" s="122" t="s">
        <v>111</v>
      </c>
      <c r="P12" s="122" t="s">
        <v>112</v>
      </c>
      <c r="Q12" s="122" t="s">
        <v>113</v>
      </c>
      <c r="R12" s="122" t="s">
        <v>114</v>
      </c>
      <c r="AM12" s="177" t="n">
        <v>1</v>
      </c>
    </row>
    <row r="13" s="177" customFormat="true" ht="15.75" hidden="false" customHeight="true" outlineLevel="0" collapsed="false">
      <c r="A13" s="55"/>
      <c r="B13" s="55"/>
      <c r="C13" s="121"/>
      <c r="D13" s="200" t="s">
        <v>107</v>
      </c>
      <c r="E13" s="201" t="str">
        <f aca="false">INDEX(VD_NAME_LIST,MATCH("4189714",VD_ID_LIST,0))&amp;"; "&amp;INDEX(VD_NAME_LIST,MATCH("4189713",VD_ID_LIST,0))</f>
        <v>Водоотведение; Транспортировка</v>
      </c>
      <c r="F13" s="202" t="s">
        <v>64</v>
      </c>
      <c r="G13" s="203"/>
      <c r="H13" s="204" t="n">
        <v>1</v>
      </c>
      <c r="I13" s="205" t="str">
        <f aca="false">IF(U13="","",INDEX(TERRITORY_MR_LIST,MATCH(U13,TERRITORY_LIST_ID,0)))</f>
        <v>Территория 1</v>
      </c>
      <c r="J13" s="206" t="s">
        <v>19</v>
      </c>
      <c r="K13" s="207"/>
      <c r="L13" s="200" t="s">
        <v>107</v>
      </c>
      <c r="M13" s="208"/>
      <c r="N13" s="190"/>
      <c r="O13" s="122" t="s">
        <v>115</v>
      </c>
      <c r="P13" s="122" t="str">
        <f aca="false">$E$13</f>
        <v>Водоотведение; Транспортировка</v>
      </c>
      <c r="Q13" s="122" t="str">
        <f aca="false">IF($F$13="нет","без дифференциации",$I$13)</f>
        <v>Территория 1</v>
      </c>
      <c r="R13" s="122" t="str">
        <f aca="false">IF($J$13="нет","без дифференциации",M13)</f>
        <v>без дифференциации</v>
      </c>
      <c r="S13" s="122"/>
      <c r="T13" s="122"/>
      <c r="U13" s="100" t="s">
        <v>96</v>
      </c>
      <c r="V13" s="100" t="s">
        <v>116</v>
      </c>
      <c r="W13" s="100"/>
      <c r="X13" s="100"/>
      <c r="Y13" s="144" t="s">
        <v>117</v>
      </c>
      <c r="Z13" s="144" t="n">
        <v>1705000</v>
      </c>
      <c r="AA13" s="144"/>
      <c r="AB13" s="144"/>
      <c r="AC13" s="144"/>
      <c r="AD13" s="144"/>
      <c r="AE13" s="144"/>
      <c r="AF13" s="144"/>
      <c r="AG13" s="144"/>
      <c r="AH13" s="144"/>
      <c r="AI13" s="144"/>
      <c r="AJ13" s="144"/>
      <c r="AK13" s="144"/>
      <c r="AL13" s="144"/>
      <c r="AM13" s="177" t="n">
        <v>15</v>
      </c>
    </row>
    <row r="14" s="177" customFormat="true" ht="15.75" hidden="false" customHeight="true" outlineLevel="0" collapsed="false">
      <c r="A14" s="55"/>
      <c r="B14" s="55"/>
      <c r="C14" s="142"/>
      <c r="D14" s="200"/>
      <c r="E14" s="201"/>
      <c r="F14" s="202"/>
      <c r="G14" s="203"/>
      <c r="H14" s="204"/>
      <c r="I14" s="205"/>
      <c r="J14" s="206"/>
      <c r="K14" s="163"/>
      <c r="L14" s="164"/>
      <c r="M14" s="209" t="s">
        <v>118</v>
      </c>
      <c r="N14" s="190"/>
      <c r="O14" s="122"/>
      <c r="P14" s="122"/>
      <c r="Q14" s="122"/>
      <c r="R14" s="122"/>
      <c r="S14" s="122"/>
      <c r="T14" s="122"/>
      <c r="U14" s="100"/>
      <c r="V14" s="100"/>
      <c r="W14" s="100"/>
      <c r="X14" s="100"/>
      <c r="Y14" s="144"/>
      <c r="Z14" s="144"/>
      <c r="AA14" s="144"/>
      <c r="AB14" s="144"/>
      <c r="AC14" s="144"/>
      <c r="AD14" s="144"/>
      <c r="AE14" s="144"/>
      <c r="AF14" s="144"/>
      <c r="AG14" s="144"/>
      <c r="AH14" s="144"/>
      <c r="AI14" s="144"/>
      <c r="AJ14" s="144"/>
      <c r="AK14" s="144"/>
      <c r="AL14" s="144"/>
      <c r="AM14" s="177" t="n">
        <v>15</v>
      </c>
    </row>
    <row r="15" s="177" customFormat="true" ht="15.75" hidden="false" customHeight="true" outlineLevel="0" collapsed="false">
      <c r="A15" s="55"/>
      <c r="B15" s="55"/>
      <c r="C15" s="142"/>
      <c r="D15" s="200"/>
      <c r="E15" s="201"/>
      <c r="F15" s="202"/>
      <c r="G15" s="210"/>
      <c r="H15" s="211"/>
      <c r="I15" s="165" t="s">
        <v>119</v>
      </c>
      <c r="J15" s="164"/>
      <c r="K15" s="164"/>
      <c r="L15" s="164"/>
      <c r="M15" s="212"/>
      <c r="N15" s="190"/>
      <c r="O15" s="122"/>
      <c r="P15" s="122"/>
      <c r="Q15" s="122"/>
      <c r="R15" s="122"/>
      <c r="S15" s="122"/>
      <c r="T15" s="122"/>
      <c r="U15" s="100"/>
      <c r="V15" s="100"/>
      <c r="W15" s="100"/>
      <c r="X15" s="100"/>
      <c r="Y15" s="144"/>
      <c r="Z15" s="144"/>
      <c r="AA15" s="144"/>
      <c r="AB15" s="144"/>
      <c r="AC15" s="144"/>
      <c r="AD15" s="144"/>
      <c r="AE15" s="144"/>
      <c r="AF15" s="144"/>
      <c r="AG15" s="144"/>
      <c r="AH15" s="144"/>
      <c r="AI15" s="144"/>
      <c r="AJ15" s="144"/>
      <c r="AK15" s="144"/>
      <c r="AL15" s="144"/>
      <c r="AM15" s="177" t="n">
        <v>15</v>
      </c>
    </row>
    <row r="16" customFormat="false" ht="15.75" hidden="false" customHeight="true" outlineLevel="0" collapsed="false">
      <c r="A16" s="213"/>
      <c r="B16" s="52"/>
      <c r="C16" s="118"/>
      <c r="D16" s="163"/>
      <c r="E16" s="214" t="s">
        <v>120</v>
      </c>
      <c r="F16" s="164"/>
      <c r="G16" s="164"/>
      <c r="H16" s="164"/>
      <c r="I16" s="164"/>
      <c r="J16" s="164"/>
      <c r="K16" s="164"/>
      <c r="L16" s="164"/>
      <c r="M16" s="212"/>
      <c r="N16" s="190"/>
      <c r="AM16" s="177" t="n">
        <v>15</v>
      </c>
    </row>
    <row r="17" customFormat="false" ht="11.25" hidden="true" customHeight="true" outlineLevel="0" collapsed="false">
      <c r="A17" s="177" t="s">
        <v>80</v>
      </c>
      <c r="B17" s="177" t="n">
        <v>0</v>
      </c>
      <c r="C17" s="177" t="n">
        <v>3</v>
      </c>
      <c r="D17" s="177" t="n">
        <v>4</v>
      </c>
      <c r="E17" s="177" t="n">
        <v>44</v>
      </c>
      <c r="F17" s="177" t="n">
        <v>6</v>
      </c>
      <c r="G17" s="177" t="n">
        <v>4</v>
      </c>
      <c r="H17" s="177" t="n">
        <v>5</v>
      </c>
      <c r="I17" s="177" t="n">
        <v>52</v>
      </c>
      <c r="J17" s="177" t="n">
        <v>6</v>
      </c>
      <c r="K17" s="177" t="n">
        <v>3</v>
      </c>
      <c r="L17" s="177" t="n">
        <v>6</v>
      </c>
      <c r="M17" s="177" t="n">
        <v>56</v>
      </c>
      <c r="N17" s="144" t="n">
        <v>8</v>
      </c>
      <c r="O17" s="122" t="n">
        <v>0</v>
      </c>
      <c r="P17" s="122" t="n">
        <v>0</v>
      </c>
      <c r="Q17" s="122" t="n">
        <v>0</v>
      </c>
      <c r="R17" s="122" t="n">
        <v>0</v>
      </c>
      <c r="S17" s="122" t="n">
        <v>0</v>
      </c>
      <c r="T17" s="122" t="n">
        <v>0</v>
      </c>
      <c r="U17" s="100" t="n">
        <v>0</v>
      </c>
      <c r="V17" s="100" t="n">
        <v>0</v>
      </c>
      <c r="W17" s="100" t="n">
        <v>0</v>
      </c>
      <c r="X17" s="100" t="n">
        <v>0</v>
      </c>
      <c r="Y17" s="144" t="n">
        <v>0</v>
      </c>
      <c r="Z17" s="144" t="n">
        <v>0</v>
      </c>
      <c r="AA17" s="144" t="n">
        <v>0</v>
      </c>
      <c r="AB17" s="144" t="n">
        <v>0</v>
      </c>
      <c r="AC17" s="144" t="n">
        <v>0</v>
      </c>
      <c r="AD17" s="144" t="n">
        <v>0</v>
      </c>
      <c r="AE17" s="144" t="n">
        <v>0</v>
      </c>
      <c r="AF17" s="144" t="n">
        <v>0</v>
      </c>
      <c r="AG17" s="144" t="n">
        <v>0</v>
      </c>
      <c r="AH17" s="144" t="n">
        <v>0</v>
      </c>
      <c r="AI17" s="144" t="n">
        <v>0</v>
      </c>
      <c r="AJ17" s="144" t="n">
        <v>0</v>
      </c>
      <c r="AK17" s="144" t="n">
        <v>0</v>
      </c>
      <c r="AL17" s="144" t="n">
        <v>8</v>
      </c>
      <c r="AM17" s="177" t="n">
        <v>11</v>
      </c>
    </row>
  </sheetData>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dataValidations count="1">
    <dataValidation allowBlank="true" error="Допускается ввод не более 900 символов!" errorStyle="stop" operator="lessThan" showDropDown="false" showErrorMessage="true" showInputMessage="true" sqref="M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26B0A"/>
    <pageSetUpPr fitToPage="false"/>
  </sheetPr>
  <dimension ref="A1:V4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2" width="4"/>
    <col collapsed="false" customWidth="true" hidden="false" outlineLevel="0" max="4" min="4" style="42" width="6"/>
    <col collapsed="false" customWidth="true" hidden="false" outlineLevel="0" max="5" min="5" style="42" width="36"/>
    <col collapsed="false" customWidth="true" hidden="false" outlineLevel="0" max="6" min="6" style="42" width="9"/>
    <col collapsed="false" customWidth="true" hidden="true" outlineLevel="0" max="7" min="7" style="42" width="25.71"/>
    <col collapsed="false" customWidth="true" hidden="true" outlineLevel="0" max="8" min="8" style="42" width="33.7"/>
    <col collapsed="false" customWidth="true" hidden="false" outlineLevel="0" max="9" min="9" style="42" width="25.71"/>
    <col collapsed="false" customWidth="true" hidden="false" outlineLevel="0" max="10" min="10" style="42" width="33"/>
    <col collapsed="false" customWidth="true" hidden="false" outlineLevel="0" max="11" min="11" style="45" width="93"/>
    <col collapsed="false" customWidth="true" hidden="false" outlineLevel="0" max="20" min="12" style="42" width="10"/>
    <col collapsed="false" customWidth="true" hidden="false" outlineLevel="0" max="21" min="21" style="108" width="10"/>
    <col collapsed="false" customWidth="false" hidden="true" outlineLevel="0" max="22" min="22" style="42" width="10.57"/>
  </cols>
  <sheetData>
    <row r="1" s="45" customFormat="true" ht="22.5" hidden="true" customHeight="true" outlineLevel="0" collapsed="false">
      <c r="C1" s="107"/>
      <c r="G1" s="45" t="n">
        <v>4</v>
      </c>
      <c r="I1" s="45" t="n">
        <v>4</v>
      </c>
      <c r="U1" s="159"/>
      <c r="V1" s="45" t="s">
        <v>14</v>
      </c>
    </row>
    <row r="2" s="45" customFormat="true" ht="15" hidden="true" customHeight="true" outlineLevel="0" collapsed="false">
      <c r="C2" s="107"/>
      <c r="U2" s="159"/>
      <c r="V2" s="45" t="n">
        <v>0</v>
      </c>
    </row>
    <row r="3" customFormat="false" ht="22.5" hidden="true" customHeight="true" outlineLevel="0" collapsed="false">
      <c r="A3" s="42"/>
      <c r="B3" s="52"/>
      <c r="C3" s="777" t="s">
        <v>686</v>
      </c>
      <c r="D3" s="778" t="str">
        <f aca="false">B3&amp;".1"</f>
        <v>.1</v>
      </c>
      <c r="E3" s="327" t="s">
        <v>933</v>
      </c>
      <c r="F3" s="506" t="s">
        <v>303</v>
      </c>
      <c r="G3" s="749"/>
      <c r="H3" s="662"/>
      <c r="I3" s="749"/>
      <c r="J3" s="662"/>
      <c r="K3" s="423" t="s">
        <v>934</v>
      </c>
      <c r="V3" s="42" t="n">
        <v>0</v>
      </c>
    </row>
    <row r="4" customFormat="false" ht="15" hidden="true" customHeight="true" outlineLevel="0" collapsed="false">
      <c r="A4" s="42"/>
      <c r="B4" s="52"/>
      <c r="C4" s="777"/>
      <c r="D4" s="778" t="str">
        <f aca="false">B3&amp;".2"</f>
        <v>.2</v>
      </c>
      <c r="E4" s="327" t="s">
        <v>935</v>
      </c>
      <c r="F4" s="506" t="s">
        <v>303</v>
      </c>
      <c r="G4" s="779"/>
      <c r="H4" s="662"/>
      <c r="I4" s="779"/>
      <c r="J4" s="662"/>
      <c r="K4" s="423" t="s">
        <v>936</v>
      </c>
      <c r="V4" s="42" t="n">
        <v>0</v>
      </c>
    </row>
    <row r="5" s="45" customFormat="true" ht="15" hidden="true" customHeight="true" outlineLevel="0" collapsed="false">
      <c r="C5" s="107"/>
      <c r="U5" s="159"/>
      <c r="V5" s="45" t="n">
        <v>0</v>
      </c>
    </row>
    <row r="6" customFormat="false" ht="22.5" hidden="true" customHeight="true" outlineLevel="0" collapsed="false">
      <c r="A6" s="42"/>
      <c r="B6" s="52"/>
      <c r="C6" s="777" t="s">
        <v>686</v>
      </c>
      <c r="D6" s="778" t="str">
        <f aca="false">B6&amp;".1"</f>
        <v>.1</v>
      </c>
      <c r="E6" s="327" t="s">
        <v>937</v>
      </c>
      <c r="F6" s="506" t="s">
        <v>303</v>
      </c>
      <c r="G6" s="749"/>
      <c r="H6" s="662"/>
      <c r="I6" s="749"/>
      <c r="J6" s="662"/>
      <c r="K6" s="423" t="s">
        <v>938</v>
      </c>
      <c r="V6" s="42" t="n">
        <v>0</v>
      </c>
    </row>
    <row r="7" customFormat="false" ht="15" hidden="true" customHeight="true" outlineLevel="0" collapsed="false">
      <c r="A7" s="42"/>
      <c r="B7" s="52"/>
      <c r="C7" s="777"/>
      <c r="D7" s="778" t="str">
        <f aca="false">B6&amp;".2"</f>
        <v>.2</v>
      </c>
      <c r="E7" s="327" t="s">
        <v>935</v>
      </c>
      <c r="F7" s="506" t="s">
        <v>303</v>
      </c>
      <c r="G7" s="779"/>
      <c r="H7" s="662"/>
      <c r="I7" s="779"/>
      <c r="J7" s="662"/>
      <c r="K7" s="423" t="s">
        <v>936</v>
      </c>
      <c r="V7" s="42" t="n">
        <v>0</v>
      </c>
    </row>
    <row r="8" s="45" customFormat="true" ht="15" hidden="true" customHeight="true" outlineLevel="0" collapsed="false">
      <c r="C8" s="107"/>
      <c r="U8" s="159"/>
      <c r="V8" s="45" t="n">
        <v>0</v>
      </c>
    </row>
    <row r="9" customFormat="false" ht="22.5" hidden="true" customHeight="true" outlineLevel="0" collapsed="false">
      <c r="A9" s="42"/>
      <c r="B9" s="52"/>
      <c r="C9" s="777" t="s">
        <v>686</v>
      </c>
      <c r="D9" s="778" t="str">
        <f aca="false">B9&amp;".1"</f>
        <v>.1</v>
      </c>
      <c r="E9" s="327" t="s">
        <v>939</v>
      </c>
      <c r="F9" s="506" t="s">
        <v>303</v>
      </c>
      <c r="G9" s="330"/>
      <c r="H9" s="662"/>
      <c r="I9" s="330"/>
      <c r="J9" s="662"/>
      <c r="K9" s="423"/>
      <c r="V9" s="42" t="n">
        <v>0</v>
      </c>
    </row>
    <row r="10" customFormat="false" ht="15" hidden="true" customHeight="true" outlineLevel="0" collapsed="false">
      <c r="A10" s="42"/>
      <c r="B10" s="52"/>
      <c r="C10" s="777"/>
      <c r="D10" s="778" t="str">
        <f aca="false">B9&amp;".2"</f>
        <v>.2</v>
      </c>
      <c r="E10" s="327" t="s">
        <v>940</v>
      </c>
      <c r="F10" s="506" t="s">
        <v>303</v>
      </c>
      <c r="G10" s="81"/>
      <c r="H10" s="662"/>
      <c r="I10" s="81"/>
      <c r="J10" s="662"/>
      <c r="K10" s="423" t="s">
        <v>941</v>
      </c>
      <c r="V10" s="42" t="n">
        <v>0</v>
      </c>
    </row>
    <row r="11" customFormat="false" ht="15" hidden="true" customHeight="true" outlineLevel="0" collapsed="false">
      <c r="A11" s="42"/>
      <c r="B11" s="52"/>
      <c r="C11" s="777"/>
      <c r="D11" s="778" t="str">
        <f aca="false">B9&amp;".3"</f>
        <v>.3</v>
      </c>
      <c r="E11" s="327" t="s">
        <v>942</v>
      </c>
      <c r="F11" s="506" t="s">
        <v>303</v>
      </c>
      <c r="G11" s="81"/>
      <c r="H11" s="662"/>
      <c r="I11" s="81"/>
      <c r="J11" s="662"/>
      <c r="K11" s="423" t="s">
        <v>943</v>
      </c>
      <c r="V11" s="42" t="n">
        <v>0</v>
      </c>
    </row>
    <row r="12" s="45" customFormat="true" ht="15" hidden="true" customHeight="true" outlineLevel="0" collapsed="false">
      <c r="C12" s="107"/>
      <c r="U12" s="159"/>
      <c r="V12" s="45" t="n">
        <v>0</v>
      </c>
    </row>
    <row r="13" customFormat="false" ht="33.75" hidden="true" customHeight="true" outlineLevel="0" collapsed="false">
      <c r="A13" s="42"/>
      <c r="B13" s="52"/>
      <c r="C13" s="777" t="s">
        <v>686</v>
      </c>
      <c r="D13" s="778" t="str">
        <f aca="false">B13&amp;".1"</f>
        <v>.1</v>
      </c>
      <c r="E13" s="327" t="s">
        <v>944</v>
      </c>
      <c r="F13" s="506" t="s">
        <v>303</v>
      </c>
      <c r="G13" s="330"/>
      <c r="H13" s="662"/>
      <c r="I13" s="330"/>
      <c r="J13" s="662"/>
      <c r="K13" s="423" t="s">
        <v>945</v>
      </c>
      <c r="V13" s="42" t="n">
        <v>0</v>
      </c>
    </row>
    <row r="14" customFormat="false" ht="15" hidden="true" customHeight="true" outlineLevel="0" collapsed="false">
      <c r="B14" s="52"/>
      <c r="C14" s="777"/>
      <c r="D14" s="778" t="str">
        <f aca="false">B13&amp;".2"</f>
        <v>.2</v>
      </c>
      <c r="E14" s="327" t="s">
        <v>946</v>
      </c>
      <c r="F14" s="506" t="s">
        <v>303</v>
      </c>
      <c r="G14" s="81"/>
      <c r="H14" s="662"/>
      <c r="I14" s="81"/>
      <c r="J14" s="662"/>
      <c r="K14" s="423" t="s">
        <v>947</v>
      </c>
      <c r="V14" s="42" t="n">
        <v>0</v>
      </c>
    </row>
    <row r="15" s="45" customFormat="true" ht="15" hidden="true" customHeight="true" outlineLevel="0" collapsed="false">
      <c r="C15" s="107"/>
      <c r="U15" s="159"/>
      <c r="V15" s="45" t="n">
        <v>0</v>
      </c>
    </row>
    <row r="16" s="45" customFormat="true" ht="15" hidden="true" customHeight="true" outlineLevel="0" collapsed="false">
      <c r="C16" s="107"/>
      <c r="U16" s="159"/>
      <c r="V16" s="45" t="n">
        <v>0</v>
      </c>
    </row>
    <row r="17" s="45" customFormat="true" ht="15" hidden="true" customHeight="true" outlineLevel="0" collapsed="false">
      <c r="C17" s="107"/>
      <c r="U17" s="159"/>
      <c r="V17" s="45" t="n">
        <v>0</v>
      </c>
    </row>
    <row r="18" s="45" customFormat="true" ht="15" hidden="true" customHeight="true" outlineLevel="0" collapsed="false">
      <c r="C18" s="107"/>
      <c r="U18" s="159"/>
      <c r="V18" s="45" t="n">
        <v>0</v>
      </c>
    </row>
    <row r="19" s="45" customFormat="true" ht="15" hidden="true" customHeight="true" outlineLevel="0" collapsed="false">
      <c r="C19" s="107"/>
      <c r="U19" s="159"/>
      <c r="V19" s="45" t="n">
        <v>0</v>
      </c>
    </row>
    <row r="20" s="45" customFormat="true" ht="15" hidden="true" customHeight="true" outlineLevel="0" collapsed="false">
      <c r="C20" s="107"/>
      <c r="U20" s="159"/>
      <c r="V20" s="45" t="n">
        <v>0</v>
      </c>
    </row>
    <row r="21" customFormat="false" ht="15.75" hidden="false" customHeight="true" outlineLevel="0" collapsed="false">
      <c r="V21" s="42" t="n">
        <v>15</v>
      </c>
    </row>
    <row r="22" customFormat="false" ht="23.25" hidden="false" customHeight="true" outlineLevel="0" collapsed="false">
      <c r="D22" s="389" t="str">
        <f aca="false">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89"/>
      <c r="F22" s="389"/>
      <c r="G22" s="389"/>
      <c r="H22" s="389"/>
      <c r="I22" s="389"/>
      <c r="J22" s="77"/>
      <c r="V22" s="42" t="n">
        <v>22</v>
      </c>
    </row>
    <row r="23" customFormat="false" ht="15.75" hidden="false" customHeight="true" outlineLevel="0" collapsed="false">
      <c r="D23" s="259" t="str">
        <f aca="false">IF(org=0,"Не определено",org)</f>
        <v>Филиал ПАО "ОГК-2" - Серовская ГРЭС, г. Серов</v>
      </c>
      <c r="E23" s="259"/>
      <c r="F23" s="259"/>
      <c r="G23" s="259"/>
      <c r="H23" s="259"/>
      <c r="I23" s="259"/>
      <c r="J23" s="77"/>
      <c r="V23" s="42" t="n">
        <v>15</v>
      </c>
    </row>
    <row r="24" customFormat="false" ht="15.75" hidden="false" customHeight="true" outlineLevel="0" collapsed="false">
      <c r="G24" s="45" t="n">
        <v>22</v>
      </c>
      <c r="H24" s="290"/>
      <c r="I24" s="45" t="n">
        <v>22</v>
      </c>
      <c r="J24" s="290"/>
      <c r="V24" s="42" t="n">
        <v>15</v>
      </c>
    </row>
    <row r="25" s="42" customFormat="true" ht="0.75" hidden="false" customHeight="true" outlineLevel="0" collapsed="false">
      <c r="A25" s="48"/>
      <c r="C25" s="142"/>
      <c r="G25" s="45"/>
      <c r="H25" s="290"/>
      <c r="I25" s="45" t="s">
        <v>115</v>
      </c>
      <c r="J25" s="290"/>
      <c r="K25" s="45"/>
      <c r="U25" s="108"/>
      <c r="V25" s="42" t="n">
        <v>1</v>
      </c>
    </row>
    <row r="26" customFormat="false" ht="15.75" hidden="false" customHeight="true" outlineLevel="0" collapsed="false">
      <c r="D26" s="624"/>
      <c r="E26" s="625" t="s">
        <v>103</v>
      </c>
      <c r="F26" s="625"/>
      <c r="G26" s="780" t="str">
        <f aca="false">IF(G25="","",INDEX(DIFFERENTIATION_UNMERGE_VD,MATCH(G25,DIFFERENTIATION_ID_DIFF,0)))</f>
        <v/>
      </c>
      <c r="H26" s="780"/>
      <c r="I26" s="780" t="str">
        <f aca="false">IF(I25="","",INDEX(DIFFERENTIATION_UNMERGE_VD,MATCH(I25,DIFFERENTIATION_ID_DIFF,0)))</f>
        <v>Водоотведение; Транспортировка</v>
      </c>
      <c r="J26" s="780"/>
      <c r="K26" s="138" t="s">
        <v>298</v>
      </c>
      <c r="V26" s="42" t="n">
        <v>15</v>
      </c>
    </row>
    <row r="27" s="42" customFormat="true" ht="15.75" hidden="false" customHeight="true" outlineLevel="0" collapsed="false">
      <c r="A27" s="48"/>
      <c r="C27" s="142"/>
      <c r="D27" s="624"/>
      <c r="E27" s="625" t="s">
        <v>561</v>
      </c>
      <c r="F27" s="625"/>
      <c r="G27" s="780" t="str">
        <f aca="false">IF(G25="","",INDEX(DIFFERENTIATION_UNMERGE_AREA,MATCH(G25,DIFFERENTIATION_ID_DIFF,0)))</f>
        <v/>
      </c>
      <c r="H27" s="780"/>
      <c r="I27" s="780" t="str">
        <f aca="false">IF(I25="","",INDEX(DIFFERENTIATION_UNMERGE_AREA,MATCH(I25,DIFFERENTIATION_ID_DIFF,0)))</f>
        <v>Территория 1</v>
      </c>
      <c r="J27" s="780"/>
      <c r="K27" s="138"/>
      <c r="U27" s="108"/>
      <c r="V27" s="42" t="n">
        <v>15</v>
      </c>
    </row>
    <row r="28" s="42" customFormat="true" ht="15.75" hidden="false" customHeight="true" outlineLevel="0" collapsed="false">
      <c r="A28" s="48"/>
      <c r="C28" s="142"/>
      <c r="D28" s="624"/>
      <c r="E28" s="625" t="s">
        <v>562</v>
      </c>
      <c r="F28" s="625"/>
      <c r="G28" s="780" t="str">
        <f aca="false">IF(G25="","",INDEX(DIFFERENTIATION_UNMERGE_SYSTEM,MATCH(G25,DIFFERENTIATION_ID_DIFF,0)))</f>
        <v/>
      </c>
      <c r="H28" s="780"/>
      <c r="I28" s="780" t="str">
        <f aca="false">IF(I25="","",INDEX(DIFFERENTIATION_UNMERGE_SYSTEM,MATCH(I25,DIFFERENTIATION_ID_DIFF,0)))</f>
        <v>без дифференциации</v>
      </c>
      <c r="J28" s="780"/>
      <c r="K28" s="138"/>
      <c r="U28" s="108"/>
      <c r="V28" s="42" t="n">
        <v>15</v>
      </c>
    </row>
    <row r="29" s="42" customFormat="true" ht="15.75" hidden="false" customHeight="true" outlineLevel="0" collapsed="false">
      <c r="A29" s="48"/>
      <c r="C29" s="142"/>
      <c r="D29" s="627" t="s">
        <v>297</v>
      </c>
      <c r="E29" s="627"/>
      <c r="F29" s="627"/>
      <c r="G29" s="628"/>
      <c r="H29" s="628"/>
      <c r="I29" s="628"/>
      <c r="J29" s="625"/>
      <c r="K29" s="138"/>
      <c r="U29" s="108"/>
      <c r="V29" s="42" t="n">
        <v>15</v>
      </c>
    </row>
    <row r="30" customFormat="false" ht="35.25" hidden="false" customHeight="true" outlineLevel="0" collapsed="false">
      <c r="D30" s="150" t="s">
        <v>86</v>
      </c>
      <c r="E30" s="138" t="s">
        <v>299</v>
      </c>
      <c r="F30" s="150" t="s">
        <v>563</v>
      </c>
      <c r="G30" s="263" t="s">
        <v>300</v>
      </c>
      <c r="H30" s="150" t="s">
        <v>387</v>
      </c>
      <c r="I30" s="263" t="s">
        <v>300</v>
      </c>
      <c r="J30" s="150" t="s">
        <v>387</v>
      </c>
      <c r="K30" s="138"/>
      <c r="V30" s="42" t="n">
        <v>34</v>
      </c>
    </row>
    <row r="31" customFormat="false" ht="15" hidden="true" customHeight="true" outlineLevel="0" collapsed="false">
      <c r="D31" s="191"/>
      <c r="E31" s="191"/>
      <c r="F31" s="191"/>
      <c r="G31" s="142"/>
      <c r="H31" s="142"/>
      <c r="I31" s="142"/>
      <c r="J31" s="142"/>
      <c r="K31" s="423"/>
      <c r="V31" s="42" t="n">
        <v>0</v>
      </c>
    </row>
    <row r="32" customFormat="false" ht="24" hidden="false" customHeight="true" outlineLevel="0" collapsed="false">
      <c r="A32" s="42"/>
      <c r="B32" s="42" t="s">
        <v>948</v>
      </c>
      <c r="C32" s="121"/>
      <c r="D32" s="781" t="n">
        <v>1</v>
      </c>
      <c r="E32" s="742" t="s">
        <v>949</v>
      </c>
      <c r="F32" s="506" t="s">
        <v>303</v>
      </c>
      <c r="G32" s="506" t="s">
        <v>303</v>
      </c>
      <c r="H32" s="506" t="s">
        <v>303</v>
      </c>
      <c r="I32" s="506" t="s">
        <v>303</v>
      </c>
      <c r="J32" s="506" t="s">
        <v>303</v>
      </c>
      <c r="K32" s="423"/>
      <c r="V32" s="42" t="n">
        <v>23</v>
      </c>
    </row>
    <row r="33" customFormat="false" ht="11.25" hidden="false" customHeight="true" outlineLevel="0" collapsed="false">
      <c r="A33" s="42"/>
      <c r="C33" s="42"/>
      <c r="D33" s="731"/>
      <c r="E33" s="165" t="s">
        <v>583</v>
      </c>
      <c r="F33" s="644"/>
      <c r="G33" s="644"/>
      <c r="H33" s="644"/>
      <c r="I33" s="644"/>
      <c r="J33" s="644"/>
      <c r="K33" s="645"/>
      <c r="U33" s="42"/>
      <c r="V33" s="42" t="n">
        <v>11</v>
      </c>
    </row>
    <row r="34" customFormat="false" ht="24" hidden="false" customHeight="true" outlineLevel="0" collapsed="false">
      <c r="A34" s="42"/>
      <c r="B34" s="77" t="s">
        <v>633</v>
      </c>
      <c r="C34" s="121"/>
      <c r="D34" s="781" t="n">
        <v>2</v>
      </c>
      <c r="E34" s="742" t="s">
        <v>950</v>
      </c>
      <c r="F34" s="506" t="s">
        <v>303</v>
      </c>
      <c r="G34" s="506" t="s">
        <v>303</v>
      </c>
      <c r="H34" s="506" t="s">
        <v>303</v>
      </c>
      <c r="I34" s="506"/>
      <c r="J34" s="506"/>
      <c r="K34" s="423"/>
      <c r="V34" s="42" t="n">
        <v>23</v>
      </c>
    </row>
    <row r="35" customFormat="false" ht="11.25" hidden="false" customHeight="true" outlineLevel="0" collapsed="false">
      <c r="A35" s="42"/>
      <c r="C35" s="42"/>
      <c r="D35" s="731"/>
      <c r="E35" s="165" t="s">
        <v>951</v>
      </c>
      <c r="F35" s="644"/>
      <c r="G35" s="782"/>
      <c r="H35" s="644"/>
      <c r="I35" s="782"/>
      <c r="J35" s="644"/>
      <c r="K35" s="645"/>
      <c r="U35" s="42"/>
      <c r="V35" s="42" t="n">
        <v>11</v>
      </c>
    </row>
    <row r="36" customFormat="false" ht="71.25" hidden="false" customHeight="true" outlineLevel="0" collapsed="false">
      <c r="A36" s="42"/>
      <c r="B36" s="42" t="s">
        <v>952</v>
      </c>
      <c r="C36" s="121"/>
      <c r="D36" s="781" t="n">
        <v>3</v>
      </c>
      <c r="E36" s="742" t="s">
        <v>953</v>
      </c>
      <c r="F36" s="719" t="s">
        <v>303</v>
      </c>
      <c r="G36" s="206" t="s">
        <v>954</v>
      </c>
      <c r="H36" s="506" t="s">
        <v>303</v>
      </c>
      <c r="I36" s="206" t="s">
        <v>954</v>
      </c>
      <c r="J36" s="506" t="s">
        <v>303</v>
      </c>
      <c r="K36" s="612" t="s">
        <v>955</v>
      </c>
      <c r="V36" s="42" t="n">
        <v>68</v>
      </c>
    </row>
    <row r="37" customFormat="false" ht="11.25" hidden="false" customHeight="true" outlineLevel="0" collapsed="false">
      <c r="A37" s="42"/>
      <c r="C37" s="42"/>
      <c r="D37" s="731"/>
      <c r="E37" s="165" t="s">
        <v>956</v>
      </c>
      <c r="F37" s="644"/>
      <c r="G37" s="782"/>
      <c r="H37" s="782"/>
      <c r="I37" s="782"/>
      <c r="J37" s="782"/>
      <c r="K37" s="645"/>
      <c r="U37" s="42"/>
      <c r="V37" s="42" t="n">
        <v>11</v>
      </c>
    </row>
    <row r="38" customFormat="false" ht="71.25" hidden="false" customHeight="true" outlineLevel="0" collapsed="false">
      <c r="A38" s="42"/>
      <c r="B38" s="42" t="s">
        <v>957</v>
      </c>
      <c r="C38" s="121"/>
      <c r="D38" s="781" t="n">
        <v>4</v>
      </c>
      <c r="E38" s="742" t="s">
        <v>958</v>
      </c>
      <c r="F38" s="719" t="s">
        <v>303</v>
      </c>
      <c r="G38" s="206" t="s">
        <v>954</v>
      </c>
      <c r="H38" s="150" t="s">
        <v>303</v>
      </c>
      <c r="I38" s="206" t="s">
        <v>954</v>
      </c>
      <c r="J38" s="150" t="s">
        <v>303</v>
      </c>
      <c r="K38" s="783" t="s">
        <v>959</v>
      </c>
      <c r="V38" s="42" t="n">
        <v>68</v>
      </c>
    </row>
    <row r="39" customFormat="false" ht="11.25" hidden="false" customHeight="true" outlineLevel="0" collapsed="false">
      <c r="A39" s="42"/>
      <c r="C39" s="42"/>
      <c r="D39" s="731"/>
      <c r="E39" s="165" t="s">
        <v>960</v>
      </c>
      <c r="F39" s="644"/>
      <c r="G39" s="644"/>
      <c r="H39" s="784"/>
      <c r="I39" s="644"/>
      <c r="J39" s="784"/>
      <c r="K39" s="645"/>
      <c r="U39" s="42"/>
      <c r="V39" s="42" t="n">
        <v>11</v>
      </c>
    </row>
    <row r="40" customFormat="false" ht="22.5" hidden="true" customHeight="true" outlineLevel="0" collapsed="false">
      <c r="A40" s="48" t="s">
        <v>80</v>
      </c>
      <c r="B40" s="42" t="n">
        <v>0</v>
      </c>
      <c r="C40" s="142" t="n">
        <v>4</v>
      </c>
      <c r="D40" s="42" t="n">
        <v>6</v>
      </c>
      <c r="E40" s="42" t="n">
        <v>36</v>
      </c>
      <c r="F40" s="42" t="n">
        <v>9</v>
      </c>
      <c r="G40" s="42" t="n">
        <v>0</v>
      </c>
      <c r="H40" s="42" t="n">
        <v>0</v>
      </c>
      <c r="I40" s="42" t="n">
        <v>25</v>
      </c>
      <c r="J40" s="42" t="n">
        <v>33</v>
      </c>
      <c r="K40" s="45" t="n">
        <v>93</v>
      </c>
      <c r="L40" s="42" t="n">
        <v>10</v>
      </c>
      <c r="M40" s="42" t="n">
        <v>10</v>
      </c>
      <c r="N40" s="42" t="n">
        <v>10</v>
      </c>
      <c r="O40" s="42" t="n">
        <v>10</v>
      </c>
      <c r="P40" s="42" t="n">
        <v>10</v>
      </c>
      <c r="Q40" s="42" t="n">
        <v>10</v>
      </c>
      <c r="R40" s="42" t="n">
        <v>10</v>
      </c>
      <c r="S40" s="42" t="n">
        <v>10</v>
      </c>
      <c r="T40" s="42" t="n">
        <v>10</v>
      </c>
      <c r="U40" s="108" t="n">
        <v>10</v>
      </c>
      <c r="V40" s="42" t="n">
        <v>23</v>
      </c>
    </row>
  </sheetData>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5">
    <dataValidation allowBlank="true" error="Допускается ввод не более 900 символов!" errorStyle="stop" errorTitle="Ошибка" operator="lessThanOrEqual" showDropDown="false" showErrorMessage="true" showInputMessage="true" sqref="G3 I3 G6 I6 G9 I9 G13 I13"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4 I4 G7 I7 G10:G11 I10:I11 G14 I14"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H4 J3:J4 H6:H7 J6:J7 H9:H11 J9:J11 H13:H14 J13:J14" type="textLength">
      <formula1>900</formula1>
      <formula2>0</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30" type="none">
      <formula1>0</formula1>
      <formula2>0</formula2>
    </dataValidation>
    <dataValidation allowBlank="true" errorStyle="stop" operator="between" prompt="Для выбора выполните двойной щелчок левой клавиши мыши по ячейке." showDropDown="false" showErrorMessage="true" showInputMessage="true" sqref="G36 I36 G38 I38"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E1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117" width="6.71"/>
    <col collapsed="false" customWidth="true" hidden="true" outlineLevel="0" max="4" min="4" style="45" width="6.71"/>
    <col collapsed="false" customWidth="true" hidden="false" outlineLevel="0" max="5" min="5" style="42" width="3"/>
    <col collapsed="false" customWidth="true" hidden="false" outlineLevel="0" max="6" min="6" style="42" width="6"/>
    <col collapsed="false" customWidth="true" hidden="false" outlineLevel="0" max="7" min="7" style="42" width="37"/>
    <col collapsed="false" customWidth="true" hidden="false" outlineLevel="0" max="8" min="8" style="42" width="16"/>
    <col collapsed="false" customWidth="true" hidden="false" outlineLevel="0" max="10" min="9" style="42" width="19"/>
    <col collapsed="false" customWidth="true" hidden="false" outlineLevel="0" max="11" min="11" style="42" width="24"/>
    <col collapsed="false" customWidth="true" hidden="false" outlineLevel="0" max="13" min="12" style="42" width="25"/>
    <col collapsed="false" customWidth="true" hidden="false" outlineLevel="0" max="16" min="14" style="42" width="17"/>
    <col collapsed="false" customWidth="true" hidden="false" outlineLevel="0" max="24" min="17" style="42" width="19"/>
    <col collapsed="false" customWidth="true" hidden="false" outlineLevel="0" max="25" min="25" style="42" width="7"/>
    <col collapsed="false" customWidth="true" hidden="false" outlineLevel="0" max="26" min="26" style="42" width="3"/>
    <col collapsed="false" customWidth="true" hidden="false" outlineLevel="0" max="27" min="27" style="42" width="6"/>
    <col collapsed="false" customWidth="true" hidden="false" outlineLevel="0" max="28" min="28" style="42" width="34"/>
    <col collapsed="false" customWidth="true" hidden="false" outlineLevel="0" max="30" min="29" style="42" width="8"/>
    <col collapsed="false" customWidth="false" hidden="true" outlineLevel="0" max="31" min="31" style="42" width="9.15"/>
  </cols>
  <sheetData>
    <row r="1" s="45" customFormat="true" ht="10.5" hidden="true" customHeight="true" outlineLevel="0" collapsed="false">
      <c r="A1" s="117"/>
      <c r="B1" s="117"/>
      <c r="C1" s="117"/>
      <c r="AE1" s="45" t="s">
        <v>14</v>
      </c>
    </row>
    <row r="2" customFormat="false" ht="10.5" hidden="true" customHeight="true" outlineLevel="0" collapsed="false">
      <c r="AE2" s="42" t="n">
        <v>0</v>
      </c>
    </row>
    <row r="3" s="48" customFormat="true" ht="10.5" hidden="true" customHeight="true" outlineLevel="0" collapsed="false">
      <c r="A3" s="117"/>
      <c r="B3" s="117"/>
      <c r="C3" s="117"/>
      <c r="D3" s="45"/>
      <c r="G3" s="48" t="s">
        <v>961</v>
      </c>
      <c r="AE3" s="48" t="n">
        <v>0</v>
      </c>
    </row>
    <row r="4" customFormat="false" ht="3" hidden="false" customHeight="true" outlineLevel="0" collapsed="false">
      <c r="AE4" s="42" t="n">
        <v>3</v>
      </c>
    </row>
    <row r="5" customFormat="false" ht="27" hidden="false" customHeight="true" outlineLevel="0" collapsed="false">
      <c r="F5" s="389" t="str">
        <f aca="false">IP_NAME_FORM</f>
        <v>Форма 7. Информация об инвестиционных программах организации водоотведения и отчетах об их исполнении</v>
      </c>
      <c r="G5" s="389"/>
      <c r="H5" s="389"/>
      <c r="I5" s="389"/>
      <c r="J5" s="389"/>
      <c r="K5" s="389"/>
      <c r="M5" s="100"/>
      <c r="AE5" s="42" t="n">
        <v>26</v>
      </c>
    </row>
    <row r="6" s="42" customFormat="true" ht="16.5" hidden="false" customHeight="true" outlineLevel="0" collapsed="false">
      <c r="A6" s="117"/>
      <c r="B6" s="117"/>
      <c r="C6" s="117"/>
      <c r="D6" s="45"/>
      <c r="F6" s="259" t="str">
        <f aca="false">IF(org=0,"Не определено",org)</f>
        <v>Филиал ПАО "ОГК-2" - Серовская ГРЭС, г. Серов</v>
      </c>
      <c r="G6" s="259"/>
      <c r="H6" s="259"/>
      <c r="I6" s="259"/>
      <c r="J6" s="259"/>
      <c r="K6" s="259"/>
      <c r="M6" s="100"/>
      <c r="AE6" s="42" t="n">
        <v>16</v>
      </c>
    </row>
    <row r="7" customFormat="false" ht="10.5" hidden="false" customHeight="true" outlineLevel="0" collapsed="false">
      <c r="AE7" s="42" t="n">
        <v>10</v>
      </c>
    </row>
    <row r="8" customFormat="false" ht="10.5" hidden="false" customHeight="true" outlineLevel="0" collapsed="false">
      <c r="F8" s="138" t="s">
        <v>297</v>
      </c>
      <c r="G8" s="138"/>
      <c r="H8" s="138"/>
      <c r="I8" s="138"/>
      <c r="J8" s="138"/>
      <c r="K8" s="138"/>
      <c r="L8" s="138"/>
      <c r="M8" s="138"/>
      <c r="N8" s="138"/>
      <c r="O8" s="138"/>
      <c r="P8" s="138"/>
      <c r="Q8" s="138"/>
      <c r="R8" s="138"/>
      <c r="S8" s="138"/>
      <c r="T8" s="138"/>
      <c r="U8" s="138"/>
      <c r="V8" s="138"/>
      <c r="W8" s="138"/>
      <c r="X8" s="138"/>
      <c r="Y8" s="138"/>
      <c r="Z8" s="138"/>
      <c r="AA8" s="138"/>
      <c r="AB8" s="138"/>
      <c r="AE8" s="42" t="n">
        <v>10</v>
      </c>
    </row>
    <row r="9" customFormat="false" ht="42.75" hidden="false" customHeight="true" outlineLevel="0" collapsed="false">
      <c r="A9" s="785"/>
      <c r="B9" s="785"/>
      <c r="C9" s="785"/>
      <c r="F9" s="260" t="s">
        <v>86</v>
      </c>
      <c r="G9" s="260" t="s">
        <v>961</v>
      </c>
      <c r="H9" s="138" t="s">
        <v>962</v>
      </c>
      <c r="I9" s="260" t="s">
        <v>963</v>
      </c>
      <c r="J9" s="260" t="s">
        <v>964</v>
      </c>
      <c r="K9" s="260" t="s">
        <v>965</v>
      </c>
      <c r="L9" s="260" t="s">
        <v>966</v>
      </c>
      <c r="M9" s="260" t="s">
        <v>967</v>
      </c>
      <c r="N9" s="395" t="s">
        <v>968</v>
      </c>
      <c r="O9" s="395"/>
      <c r="P9" s="395"/>
      <c r="Q9" s="294" t="s">
        <v>969</v>
      </c>
      <c r="R9" s="294"/>
      <c r="S9" s="294"/>
      <c r="T9" s="294"/>
      <c r="U9" s="294" t="s">
        <v>970</v>
      </c>
      <c r="V9" s="294"/>
      <c r="W9" s="294"/>
      <c r="X9" s="294"/>
      <c r="Y9" s="138" t="s">
        <v>971</v>
      </c>
      <c r="Z9" s="138"/>
      <c r="AA9" s="138"/>
      <c r="AB9" s="138"/>
      <c r="AE9" s="42" t="n">
        <v>41</v>
      </c>
    </row>
    <row r="10" customFormat="false" ht="42.75" hidden="false" customHeight="true" outlineLevel="0" collapsed="false">
      <c r="A10" s="785"/>
      <c r="B10" s="785"/>
      <c r="C10" s="785"/>
      <c r="F10" s="260"/>
      <c r="G10" s="260"/>
      <c r="H10" s="138"/>
      <c r="I10" s="260"/>
      <c r="J10" s="260"/>
      <c r="K10" s="260"/>
      <c r="L10" s="260"/>
      <c r="M10" s="260"/>
      <c r="N10" s="573" t="s">
        <v>972</v>
      </c>
      <c r="O10" s="573" t="s">
        <v>973</v>
      </c>
      <c r="P10" s="786" t="s">
        <v>974</v>
      </c>
      <c r="Q10" s="573" t="s">
        <v>87</v>
      </c>
      <c r="R10" s="573" t="s">
        <v>975</v>
      </c>
      <c r="S10" s="573" t="s">
        <v>976</v>
      </c>
      <c r="T10" s="787" t="s">
        <v>977</v>
      </c>
      <c r="U10" s="573" t="s">
        <v>87</v>
      </c>
      <c r="V10" s="573" t="s">
        <v>978</v>
      </c>
      <c r="W10" s="573" t="s">
        <v>976</v>
      </c>
      <c r="X10" s="787" t="s">
        <v>977</v>
      </c>
      <c r="Y10" s="481" t="s">
        <v>979</v>
      </c>
      <c r="Z10" s="138" t="s">
        <v>86</v>
      </c>
      <c r="AA10" s="138"/>
      <c r="AB10" s="150" t="s">
        <v>980</v>
      </c>
      <c r="AE10" s="42" t="n">
        <v>41</v>
      </c>
    </row>
    <row r="11" s="49" customFormat="true" ht="5.25" hidden="true" customHeight="true" outlineLevel="0" collapsed="false">
      <c r="A11" s="462"/>
      <c r="B11" s="462"/>
      <c r="C11" s="462"/>
      <c r="E11" s="125"/>
      <c r="F11" s="565" t="s">
        <v>373</v>
      </c>
      <c r="G11" s="788"/>
      <c r="H11" s="371"/>
      <c r="I11" s="371"/>
      <c r="J11" s="371"/>
      <c r="K11" s="397"/>
      <c r="L11" s="397"/>
      <c r="M11" s="397"/>
      <c r="N11" s="371"/>
      <c r="O11" s="371"/>
      <c r="P11" s="138"/>
      <c r="Q11" s="281"/>
      <c r="R11" s="281"/>
      <c r="S11" s="281"/>
      <c r="T11" s="371"/>
      <c r="U11" s="281"/>
      <c r="V11" s="281"/>
      <c r="W11" s="281"/>
      <c r="X11" s="371"/>
      <c r="Y11" s="200"/>
      <c r="Z11" s="200"/>
      <c r="AA11" s="200"/>
      <c r="AB11" s="200"/>
      <c r="AD11" s="49" t="s">
        <v>981</v>
      </c>
      <c r="AE11" s="49" t="n">
        <v>0</v>
      </c>
    </row>
    <row r="12" s="49" customFormat="true" ht="5.25" hidden="true" customHeight="true" outlineLevel="0" collapsed="false">
      <c r="A12" s="462"/>
      <c r="B12" s="462"/>
      <c r="C12" s="462"/>
      <c r="F12" s="565"/>
      <c r="G12" s="788"/>
      <c r="H12" s="371"/>
      <c r="I12" s="371"/>
      <c r="J12" s="371"/>
      <c r="K12" s="397"/>
      <c r="L12" s="397"/>
      <c r="M12" s="397"/>
      <c r="N12" s="371"/>
      <c r="O12" s="371"/>
      <c r="P12" s="138"/>
      <c r="Q12" s="281"/>
      <c r="R12" s="281"/>
      <c r="S12" s="281"/>
      <c r="T12" s="371"/>
      <c r="U12" s="281"/>
      <c r="V12" s="281"/>
      <c r="W12" s="281"/>
      <c r="X12" s="371"/>
      <c r="Y12" s="200"/>
      <c r="Z12" s="200"/>
      <c r="AA12" s="200"/>
      <c r="AB12" s="200"/>
      <c r="AE12" s="49" t="n">
        <v>0</v>
      </c>
    </row>
    <row r="13" customFormat="false" ht="10.5" hidden="false" customHeight="true" outlineLevel="0" collapsed="false">
      <c r="F13" s="553"/>
      <c r="G13" s="165" t="s">
        <v>982</v>
      </c>
      <c r="H13" s="165"/>
      <c r="I13" s="644"/>
      <c r="J13" s="644"/>
      <c r="K13" s="644"/>
      <c r="L13" s="644"/>
      <c r="M13" s="644"/>
      <c r="N13" s="644"/>
      <c r="O13" s="644"/>
      <c r="P13" s="644"/>
      <c r="Q13" s="644"/>
      <c r="R13" s="644"/>
      <c r="S13" s="644"/>
      <c r="T13" s="644"/>
      <c r="U13" s="644"/>
      <c r="V13" s="644"/>
      <c r="W13" s="644"/>
      <c r="X13" s="644"/>
      <c r="Y13" s="644"/>
      <c r="Z13" s="784"/>
      <c r="AA13" s="784"/>
      <c r="AB13" s="789"/>
      <c r="AE13" s="42" t="n">
        <v>10</v>
      </c>
    </row>
    <row r="14" customFormat="false" ht="10.5" hidden="false" customHeight="true" outlineLevel="0" collapsed="false">
      <c r="AE14" s="42" t="n">
        <v>10</v>
      </c>
    </row>
    <row r="15" s="49" customFormat="true" ht="10.5" hidden="false" customHeight="true" outlineLevel="0" collapsed="false">
      <c r="A15" s="462"/>
      <c r="B15" s="462"/>
      <c r="C15" s="462"/>
      <c r="H15" s="49" t="n">
        <f aca="false">_xlfn.iferror(MATCH("нет",IP_MAIN_DIFFERENTIATION_EVENTS_FLAG,0),0)</f>
        <v>0</v>
      </c>
      <c r="AE15" s="49" t="n">
        <v>10</v>
      </c>
    </row>
    <row r="16" customFormat="false" ht="10.5" hidden="true" customHeight="true" outlineLevel="0" collapsed="false">
      <c r="A16" s="117" t="s">
        <v>80</v>
      </c>
      <c r="B16" s="117" t="n">
        <v>0</v>
      </c>
      <c r="C16" s="117" t="n">
        <v>0</v>
      </c>
      <c r="D16" s="45" t="n">
        <v>0</v>
      </c>
      <c r="E16" s="42" t="n">
        <v>3</v>
      </c>
      <c r="F16" s="42" t="n">
        <v>6</v>
      </c>
      <c r="G16" s="42" t="n">
        <v>37</v>
      </c>
      <c r="H16" s="42" t="n">
        <v>16</v>
      </c>
      <c r="I16" s="42" t="n">
        <v>19</v>
      </c>
      <c r="J16" s="42" t="n">
        <v>19</v>
      </c>
      <c r="K16" s="42" t="n">
        <v>24</v>
      </c>
      <c r="L16" s="42" t="n">
        <v>25</v>
      </c>
      <c r="M16" s="42" t="n">
        <v>25</v>
      </c>
      <c r="N16" s="42" t="n">
        <v>17</v>
      </c>
      <c r="O16" s="42" t="n">
        <v>17</v>
      </c>
      <c r="P16" s="42" t="n">
        <v>17</v>
      </c>
      <c r="Q16" s="42" t="n">
        <v>19</v>
      </c>
      <c r="R16" s="42" t="n">
        <v>19</v>
      </c>
      <c r="S16" s="42" t="n">
        <v>19</v>
      </c>
      <c r="T16" s="42" t="n">
        <v>19</v>
      </c>
      <c r="U16" s="42" t="n">
        <v>19</v>
      </c>
      <c r="V16" s="42" t="n">
        <v>19</v>
      </c>
      <c r="W16" s="42" t="n">
        <v>19</v>
      </c>
      <c r="X16" s="42" t="n">
        <v>19</v>
      </c>
      <c r="Y16" s="42" t="n">
        <v>7</v>
      </c>
      <c r="Z16" s="42" t="n">
        <v>3</v>
      </c>
      <c r="AA16" s="42" t="n">
        <v>6</v>
      </c>
      <c r="AB16" s="42" t="n">
        <v>34</v>
      </c>
      <c r="AC16" s="42" t="n">
        <v>8</v>
      </c>
      <c r="AD16" s="42" t="n">
        <v>8</v>
      </c>
      <c r="AE16" s="42" t="n">
        <v>10</v>
      </c>
    </row>
  </sheetData>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BG2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117" width="4.15"/>
    <col collapsed="false" customWidth="true" hidden="true" outlineLevel="0" max="4" min="4" style="45" width="4.15"/>
    <col collapsed="false" customWidth="true" hidden="false" outlineLevel="0" max="5" min="5" style="42" width="3"/>
    <col collapsed="false" customWidth="true" hidden="false" outlineLevel="0" max="6" min="6" style="42" width="14"/>
    <col collapsed="false" customWidth="true" hidden="false" outlineLevel="0" max="7" min="7" style="42" width="3"/>
    <col collapsed="false" customWidth="true" hidden="false" outlineLevel="0" max="8" min="8" style="42" width="7"/>
    <col collapsed="false" customWidth="true" hidden="false" outlineLevel="0" max="10" min="9" style="42" width="16"/>
    <col collapsed="false" customWidth="true" hidden="false" outlineLevel="0" max="11" min="11" style="42" width="25"/>
    <col collapsed="false" customWidth="true" hidden="false" outlineLevel="0" max="12" min="12" style="42" width="7"/>
    <col collapsed="false" customWidth="true" hidden="false" outlineLevel="0" max="13" min="13" style="42" width="15"/>
    <col collapsed="false" customWidth="true" hidden="false" outlineLevel="0" max="14" min="14" style="42" width="3"/>
    <col collapsed="false" customWidth="true" hidden="false" outlineLevel="0" max="15" min="15" style="42" width="4"/>
    <col collapsed="false" customWidth="true" hidden="false" outlineLevel="0" max="16" min="16" style="42" width="8"/>
    <col collapsed="false" customWidth="true" hidden="false" outlineLevel="0" max="17" min="17" style="42" width="21"/>
    <col collapsed="false" customWidth="true" hidden="false" outlineLevel="0" max="18" min="18" style="42" width="14"/>
    <col collapsed="false" customWidth="true" hidden="false" outlineLevel="0" max="20" min="19" style="42" width="17"/>
    <col collapsed="false" customWidth="true" hidden="false" outlineLevel="0" max="21" min="21" style="42" width="9"/>
    <col collapsed="false" customWidth="true" hidden="false" outlineLevel="0" max="22" min="22" style="42" width="12"/>
    <col collapsed="false" customWidth="true" hidden="false" outlineLevel="0" max="23" min="23" style="42" width="9"/>
    <col collapsed="false" customWidth="true" hidden="false" outlineLevel="0" max="24" min="24" style="42" width="21"/>
    <col collapsed="false" customWidth="true" hidden="false" outlineLevel="0" max="25" min="25" style="42" width="12"/>
    <col collapsed="false" customWidth="true" hidden="false" outlineLevel="0" max="26" min="26" style="42" width="3"/>
    <col collapsed="false" customWidth="true" hidden="false" outlineLevel="0" max="27" min="27" style="42" width="6"/>
    <col collapsed="false" customWidth="true" hidden="false" outlineLevel="0" max="28" min="28" style="42" width="38"/>
    <col collapsed="false" customWidth="true" hidden="false" outlineLevel="0" max="29" min="29" style="42" width="15"/>
    <col collapsed="false" customWidth="true" hidden="true" outlineLevel="0" max="30" min="30" style="42" width="37.58"/>
    <col collapsed="false" customWidth="true" hidden="true" outlineLevel="0" max="31" min="31" style="42" width="15.71"/>
    <col collapsed="false" customWidth="true" hidden="false" outlineLevel="0" max="34" min="32" style="42" width="16"/>
    <col collapsed="false" customWidth="true" hidden="true" outlineLevel="0" max="37" min="35" style="42" width="16.71"/>
    <col collapsed="false" customWidth="true" hidden="false" outlineLevel="0" max="58" min="38" style="42" width="8"/>
    <col collapsed="false" customWidth="false" hidden="true" outlineLevel="0" max="59" min="59" style="42" width="9.15"/>
  </cols>
  <sheetData>
    <row r="1" s="45" customFormat="true" ht="10.5" hidden="true" customHeight="true" outlineLevel="0" collapsed="false">
      <c r="A1" s="117"/>
      <c r="B1" s="117"/>
      <c r="C1" s="117"/>
      <c r="BG1" s="45" t="s">
        <v>14</v>
      </c>
    </row>
    <row r="2" customFormat="false" ht="10.5" hidden="true" customHeight="true" outlineLevel="0" collapsed="false">
      <c r="BG2" s="42" t="n">
        <v>0</v>
      </c>
    </row>
    <row r="3" s="48" customFormat="true" ht="10.5" hidden="true" customHeight="true" outlineLevel="0" collapsed="false">
      <c r="A3" s="117"/>
      <c r="B3" s="117"/>
      <c r="C3" s="117"/>
      <c r="D3" s="45"/>
      <c r="BG3" s="48" t="n">
        <v>0</v>
      </c>
    </row>
    <row r="4" customFormat="false" ht="3" hidden="false" customHeight="true" outlineLevel="0" collapsed="false">
      <c r="BG4" s="42" t="n">
        <v>3</v>
      </c>
    </row>
    <row r="5" customFormat="false" ht="27" hidden="false" customHeight="true" outlineLevel="0" collapsed="false">
      <c r="F5" s="389" t="str">
        <f aca="false">IP_NAME_FORM</f>
        <v>Форма 7. Информация об инвестиционных программах организации водоотведения и отчетах об их исполнении</v>
      </c>
      <c r="G5" s="389"/>
      <c r="H5" s="389"/>
      <c r="I5" s="389"/>
      <c r="J5" s="389"/>
      <c r="K5" s="389"/>
      <c r="L5" s="622"/>
      <c r="M5" s="622"/>
      <c r="BG5" s="42" t="n">
        <v>26</v>
      </c>
    </row>
    <row r="6" customFormat="false" ht="10.5" hidden="false" customHeight="true" outlineLevel="0" collapsed="false">
      <c r="F6" s="259" t="str">
        <f aca="false">IF(org=0,"Не определено",org)</f>
        <v>Филиал ПАО "ОГК-2" - Серовская ГРЭС, г. Серов</v>
      </c>
      <c r="G6" s="259"/>
      <c r="H6" s="259"/>
      <c r="I6" s="259"/>
      <c r="J6" s="259"/>
      <c r="K6" s="259"/>
      <c r="L6" s="622"/>
      <c r="M6" s="622"/>
      <c r="BG6" s="42" t="n">
        <v>10</v>
      </c>
    </row>
    <row r="7" customFormat="false" ht="11.25" hidden="false" customHeight="true" outlineLevel="0" collapsed="false">
      <c r="E7" s="83"/>
      <c r="F7" s="790"/>
      <c r="G7" s="790"/>
      <c r="H7" s="790"/>
      <c r="I7" s="790"/>
      <c r="J7" s="790"/>
      <c r="K7" s="791"/>
      <c r="L7" s="791"/>
      <c r="M7" s="791"/>
      <c r="N7" s="790"/>
      <c r="O7" s="790"/>
      <c r="P7" s="790"/>
      <c r="Q7" s="791"/>
      <c r="R7" s="790"/>
      <c r="S7" s="790"/>
      <c r="T7" s="790"/>
      <c r="U7" s="790"/>
      <c r="V7" s="790"/>
      <c r="W7" s="790"/>
      <c r="X7" s="790"/>
      <c r="Y7" s="790"/>
      <c r="Z7" s="790"/>
      <c r="AA7" s="790"/>
      <c r="AB7" s="790"/>
      <c r="AC7" s="792"/>
      <c r="AD7" s="792"/>
      <c r="AE7" s="792"/>
      <c r="AF7" s="790"/>
      <c r="AG7" s="790"/>
      <c r="AH7" s="790"/>
      <c r="AI7" s="790"/>
      <c r="AJ7" s="790"/>
      <c r="AK7" s="790"/>
      <c r="AL7" s="45"/>
      <c r="AM7" s="45"/>
      <c r="AN7" s="45"/>
      <c r="AO7" s="136"/>
      <c r="AP7" s="136"/>
      <c r="AQ7" s="136"/>
      <c r="AR7" s="136"/>
      <c r="AS7" s="136"/>
      <c r="AT7" s="136"/>
      <c r="AU7" s="136"/>
      <c r="AV7" s="136"/>
      <c r="AW7" s="136"/>
      <c r="AX7" s="136"/>
      <c r="AY7" s="136"/>
      <c r="AZ7" s="136"/>
      <c r="BA7" s="136"/>
      <c r="BB7" s="136"/>
      <c r="BC7" s="136"/>
      <c r="BD7" s="136"/>
      <c r="BE7" s="136"/>
      <c r="BF7" s="136"/>
      <c r="BG7" s="42" t="n">
        <v>11</v>
      </c>
    </row>
    <row r="8" customFormat="false" ht="10.5" hidden="false" customHeight="true" outlineLevel="0" collapsed="false">
      <c r="E8" s="83"/>
      <c r="F8" s="793" t="s">
        <v>297</v>
      </c>
      <c r="G8" s="793"/>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4"/>
      <c r="AM8" s="136"/>
      <c r="AN8" s="136"/>
      <c r="AO8" s="136"/>
      <c r="AP8" s="136"/>
      <c r="AQ8" s="136"/>
      <c r="AR8" s="136"/>
      <c r="AS8" s="136"/>
      <c r="AT8" s="136"/>
      <c r="AU8" s="136"/>
      <c r="AV8" s="136"/>
      <c r="AW8" s="136"/>
      <c r="AX8" s="136"/>
      <c r="AY8" s="136"/>
      <c r="AZ8" s="136"/>
      <c r="BA8" s="136"/>
      <c r="BB8" s="136"/>
      <c r="BC8" s="136"/>
      <c r="BD8" s="136"/>
      <c r="BE8" s="136"/>
      <c r="BF8" s="136"/>
      <c r="BG8" s="42" t="n">
        <v>10</v>
      </c>
    </row>
    <row r="9" customFormat="false" ht="24" hidden="false" customHeight="true" outlineLevel="0" collapsed="false">
      <c r="A9" s="785"/>
      <c r="B9" s="785"/>
      <c r="C9" s="785"/>
      <c r="E9" s="83"/>
      <c r="F9" s="395" t="s">
        <v>983</v>
      </c>
      <c r="G9" s="795" t="s">
        <v>984</v>
      </c>
      <c r="H9" s="795"/>
      <c r="I9" s="138" t="s">
        <v>985</v>
      </c>
      <c r="J9" s="138"/>
      <c r="K9" s="138" t="s">
        <v>986</v>
      </c>
      <c r="L9" s="138"/>
      <c r="M9" s="138"/>
      <c r="N9" s="138"/>
      <c r="O9" s="138"/>
      <c r="P9" s="138"/>
      <c r="Q9" s="138"/>
      <c r="R9" s="138"/>
      <c r="S9" s="138"/>
      <c r="T9" s="138"/>
      <c r="U9" s="138"/>
      <c r="V9" s="138"/>
      <c r="W9" s="138"/>
      <c r="X9" s="138"/>
      <c r="Y9" s="138"/>
      <c r="Z9" s="138" t="s">
        <v>987</v>
      </c>
      <c r="AA9" s="138"/>
      <c r="AB9" s="138" t="s">
        <v>988</v>
      </c>
      <c r="AC9" s="138"/>
      <c r="AD9" s="138"/>
      <c r="AE9" s="138"/>
      <c r="AF9" s="138" t="s">
        <v>989</v>
      </c>
      <c r="AG9" s="138" t="s">
        <v>990</v>
      </c>
      <c r="AH9" s="138"/>
      <c r="AI9" s="138" t="s">
        <v>991</v>
      </c>
      <c r="AJ9" s="138" t="s">
        <v>992</v>
      </c>
      <c r="AK9" s="138"/>
      <c r="AM9" s="136"/>
      <c r="AN9" s="136"/>
      <c r="AO9" s="136"/>
      <c r="AP9" s="136"/>
      <c r="AQ9" s="136"/>
      <c r="AR9" s="136"/>
      <c r="AS9" s="136"/>
      <c r="AT9" s="136"/>
      <c r="AU9" s="136"/>
      <c r="AV9" s="136"/>
      <c r="AW9" s="136"/>
      <c r="AX9" s="136"/>
      <c r="AY9" s="136"/>
      <c r="AZ9" s="136"/>
      <c r="BA9" s="136"/>
      <c r="BB9" s="136"/>
      <c r="BC9" s="136"/>
      <c r="BD9" s="136"/>
      <c r="BE9" s="136"/>
      <c r="BF9" s="136"/>
      <c r="BG9" s="42" t="n">
        <v>23</v>
      </c>
    </row>
    <row r="10" customFormat="false" ht="24.75" hidden="false" customHeight="true" outlineLevel="0" collapsed="false">
      <c r="A10" s="785"/>
      <c r="B10" s="785"/>
      <c r="C10" s="785"/>
      <c r="E10" s="83"/>
      <c r="F10" s="395"/>
      <c r="G10" s="795"/>
      <c r="H10" s="795"/>
      <c r="I10" s="138"/>
      <c r="J10" s="138"/>
      <c r="K10" s="150" t="s">
        <v>993</v>
      </c>
      <c r="L10" s="138" t="s">
        <v>994</v>
      </c>
      <c r="M10" s="138"/>
      <c r="N10" s="138" t="s">
        <v>995</v>
      </c>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M10" s="136"/>
      <c r="AN10" s="136"/>
      <c r="AO10" s="136"/>
      <c r="AP10" s="136"/>
      <c r="AQ10" s="136"/>
      <c r="AR10" s="136"/>
      <c r="AS10" s="136"/>
      <c r="AT10" s="136"/>
      <c r="AU10" s="136"/>
      <c r="AV10" s="136"/>
      <c r="AW10" s="136"/>
      <c r="AX10" s="136"/>
      <c r="AY10" s="136"/>
      <c r="AZ10" s="136"/>
      <c r="BA10" s="136"/>
      <c r="BB10" s="136"/>
      <c r="BC10" s="136"/>
      <c r="BD10" s="136"/>
      <c r="BE10" s="136"/>
      <c r="BF10" s="136"/>
      <c r="BG10" s="42" t="n">
        <v>24</v>
      </c>
    </row>
    <row r="11" s="42" customFormat="true" ht="24.75" hidden="false" customHeight="true" outlineLevel="0" collapsed="false">
      <c r="A11" s="785"/>
      <c r="B11" s="785"/>
      <c r="C11" s="785"/>
      <c r="D11" s="45"/>
      <c r="E11" s="83"/>
      <c r="F11" s="395"/>
      <c r="G11" s="795"/>
      <c r="H11" s="795"/>
      <c r="I11" s="138"/>
      <c r="J11" s="138"/>
      <c r="K11" s="150"/>
      <c r="L11" s="138" t="s">
        <v>996</v>
      </c>
      <c r="M11" s="138" t="s">
        <v>997</v>
      </c>
      <c r="N11" s="138" t="s">
        <v>998</v>
      </c>
      <c r="O11" s="138"/>
      <c r="P11" s="358" t="s">
        <v>979</v>
      </c>
      <c r="Q11" s="358" t="s">
        <v>999</v>
      </c>
      <c r="R11" s="358" t="s">
        <v>1000</v>
      </c>
      <c r="S11" s="220" t="s">
        <v>1001</v>
      </c>
      <c r="T11" s="220"/>
      <c r="U11" s="220"/>
      <c r="V11" s="220"/>
      <c r="W11" s="220"/>
      <c r="X11" s="220"/>
      <c r="Y11" s="220"/>
      <c r="Z11" s="138"/>
      <c r="AA11" s="138"/>
      <c r="AB11" s="138" t="s">
        <v>1002</v>
      </c>
      <c r="AC11" s="138"/>
      <c r="AD11" s="138" t="s">
        <v>1003</v>
      </c>
      <c r="AE11" s="138"/>
      <c r="AF11" s="138"/>
      <c r="AG11" s="138"/>
      <c r="AH11" s="138"/>
      <c r="AI11" s="138"/>
      <c r="AJ11" s="138"/>
      <c r="AK11" s="138"/>
      <c r="AM11" s="136"/>
      <c r="AN11" s="136"/>
      <c r="AO11" s="136"/>
      <c r="AP11" s="136"/>
      <c r="AQ11" s="136"/>
      <c r="AR11" s="136"/>
      <c r="AS11" s="136"/>
      <c r="AT11" s="136"/>
      <c r="AU11" s="136"/>
      <c r="AV11" s="136"/>
      <c r="AW11" s="136"/>
      <c r="AX11" s="136"/>
      <c r="AY11" s="136"/>
      <c r="AZ11" s="136"/>
      <c r="BA11" s="136"/>
      <c r="BB11" s="136"/>
      <c r="BC11" s="136"/>
      <c r="BD11" s="136"/>
      <c r="BE11" s="136"/>
      <c r="BF11" s="136"/>
      <c r="BG11" s="42" t="n">
        <v>24</v>
      </c>
    </row>
    <row r="12" customFormat="false" ht="35.25" hidden="false" customHeight="true" outlineLevel="0" collapsed="false">
      <c r="A12" s="785"/>
      <c r="B12" s="785"/>
      <c r="C12" s="785"/>
      <c r="E12" s="83"/>
      <c r="F12" s="395"/>
      <c r="G12" s="795"/>
      <c r="H12" s="795"/>
      <c r="I12" s="150" t="s">
        <v>87</v>
      </c>
      <c r="J12" s="150" t="s">
        <v>1004</v>
      </c>
      <c r="K12" s="150"/>
      <c r="L12" s="138"/>
      <c r="M12" s="138"/>
      <c r="N12" s="138"/>
      <c r="O12" s="138"/>
      <c r="P12" s="358"/>
      <c r="Q12" s="358"/>
      <c r="R12" s="358"/>
      <c r="S12" s="220" t="s">
        <v>84</v>
      </c>
      <c r="T12" s="220" t="s">
        <v>85</v>
      </c>
      <c r="U12" s="220" t="s">
        <v>83</v>
      </c>
      <c r="V12" s="220" t="s">
        <v>1005</v>
      </c>
      <c r="W12" s="220" t="s">
        <v>83</v>
      </c>
      <c r="X12" s="220" t="s">
        <v>1006</v>
      </c>
      <c r="Y12" s="220" t="s">
        <v>1007</v>
      </c>
      <c r="Z12" s="138"/>
      <c r="AA12" s="138"/>
      <c r="AB12" s="150" t="s">
        <v>1008</v>
      </c>
      <c r="AC12" s="150" t="s">
        <v>1009</v>
      </c>
      <c r="AD12" s="150" t="s">
        <v>1008</v>
      </c>
      <c r="AE12" s="150" t="s">
        <v>1009</v>
      </c>
      <c r="AF12" s="138"/>
      <c r="AG12" s="150" t="s">
        <v>1010</v>
      </c>
      <c r="AH12" s="150" t="s">
        <v>1011</v>
      </c>
      <c r="AI12" s="138"/>
      <c r="AJ12" s="150" t="s">
        <v>1010</v>
      </c>
      <c r="AK12" s="150" t="s">
        <v>1011</v>
      </c>
      <c r="AM12" s="136"/>
      <c r="AN12" s="136"/>
      <c r="AO12" s="136"/>
      <c r="AP12" s="136"/>
      <c r="AQ12" s="136"/>
      <c r="AR12" s="136"/>
      <c r="AS12" s="136"/>
      <c r="AT12" s="136"/>
      <c r="AU12" s="136"/>
      <c r="AV12" s="136"/>
      <c r="AW12" s="136"/>
      <c r="AX12" s="136"/>
      <c r="AY12" s="136"/>
      <c r="AZ12" s="136"/>
      <c r="BA12" s="136"/>
      <c r="BB12" s="136"/>
      <c r="BC12" s="136"/>
      <c r="BD12" s="136"/>
      <c r="BE12" s="136"/>
      <c r="BF12" s="136"/>
      <c r="BG12" s="42" t="n">
        <v>34</v>
      </c>
    </row>
    <row r="13" customFormat="false" ht="0.75" hidden="false" customHeight="true" outlineLevel="0" collapsed="false">
      <c r="E13" s="83"/>
      <c r="F13" s="83" t="n">
        <v>0</v>
      </c>
      <c r="G13" s="83"/>
      <c r="H13" s="83"/>
      <c r="I13" s="83"/>
      <c r="J13" s="83"/>
      <c r="AL13" s="794"/>
      <c r="AM13" s="136"/>
      <c r="AN13" s="136"/>
      <c r="AO13" s="136"/>
      <c r="AP13" s="136"/>
      <c r="AQ13" s="136"/>
      <c r="AR13" s="136"/>
      <c r="AS13" s="136"/>
      <c r="AT13" s="136"/>
      <c r="AU13" s="136"/>
      <c r="AV13" s="136"/>
      <c r="AW13" s="136"/>
      <c r="AX13" s="136"/>
      <c r="AY13" s="136"/>
      <c r="AZ13" s="136"/>
      <c r="BA13" s="136"/>
      <c r="BB13" s="136"/>
      <c r="BC13" s="136"/>
      <c r="BD13" s="136"/>
      <c r="BE13" s="136"/>
      <c r="BF13" s="136"/>
      <c r="BG13" s="42" t="n">
        <v>1</v>
      </c>
    </row>
    <row r="14" customFormat="false" ht="10.5" hidden="false" customHeight="true" outlineLevel="0" collapsed="false">
      <c r="E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42" t="n">
        <v>10</v>
      </c>
    </row>
    <row r="15" customFormat="false" ht="13.5" hidden="false" customHeight="true" outlineLevel="0" collapsed="false">
      <c r="E15" s="136"/>
      <c r="F15" s="796" t="s">
        <v>1012</v>
      </c>
      <c r="G15" s="100"/>
      <c r="H15" s="100"/>
      <c r="I15" s="100"/>
      <c r="J15" s="100"/>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42" t="n">
        <v>13</v>
      </c>
    </row>
    <row r="16" customFormat="false" ht="10.5" hidden="false" customHeight="true" outlineLevel="0" collapsed="false">
      <c r="BG16" s="42" t="n">
        <v>10</v>
      </c>
    </row>
    <row r="17" customFormat="false" ht="10.5" hidden="false" customHeight="true" outlineLevel="0" collapsed="false">
      <c r="E17" s="136"/>
      <c r="F17" s="77"/>
      <c r="G17" s="77"/>
      <c r="H17" s="77"/>
      <c r="I17" s="77"/>
      <c r="J17" s="77"/>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42" t="n">
        <v>10</v>
      </c>
    </row>
    <row r="18" customFormat="false" ht="10.5" hidden="false" customHeight="true" outlineLevel="0" collapsed="false">
      <c r="E18" s="136"/>
      <c r="F18" s="77"/>
      <c r="G18" s="77"/>
      <c r="H18" s="77"/>
      <c r="I18" s="77"/>
      <c r="J18" s="77"/>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42" t="n">
        <v>10</v>
      </c>
    </row>
    <row r="19" customFormat="false" ht="10.5" hidden="false" customHeight="true" outlineLevel="0" collapsed="false">
      <c r="E19" s="136"/>
      <c r="F19" s="77"/>
      <c r="G19" s="77"/>
      <c r="H19" s="77"/>
      <c r="I19" s="77"/>
      <c r="J19" s="77"/>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42" t="n">
        <v>10</v>
      </c>
    </row>
    <row r="20" customFormat="false" ht="10.5" hidden="true" customHeight="true" outlineLevel="0" collapsed="false">
      <c r="A20" s="117" t="s">
        <v>80</v>
      </c>
      <c r="B20" s="117" t="n">
        <v>0</v>
      </c>
      <c r="C20" s="117" t="n">
        <v>0</v>
      </c>
      <c r="D20" s="45" t="n">
        <v>0</v>
      </c>
      <c r="E20" s="42" t="n">
        <v>3</v>
      </c>
      <c r="F20" s="42" t="n">
        <v>14</v>
      </c>
      <c r="G20" s="42" t="n">
        <v>3</v>
      </c>
      <c r="H20" s="42" t="n">
        <v>7</v>
      </c>
      <c r="I20" s="42" t="n">
        <v>16</v>
      </c>
      <c r="J20" s="42" t="n">
        <v>16</v>
      </c>
      <c r="K20" s="42" t="n">
        <v>25</v>
      </c>
      <c r="L20" s="42" t="n">
        <v>7</v>
      </c>
      <c r="M20" s="42" t="n">
        <v>15</v>
      </c>
      <c r="N20" s="42" t="n">
        <v>3</v>
      </c>
      <c r="O20" s="42" t="n">
        <v>4</v>
      </c>
      <c r="P20" s="42" t="n">
        <v>8</v>
      </c>
      <c r="Q20" s="42" t="n">
        <v>21</v>
      </c>
      <c r="R20" s="42" t="n">
        <v>14</v>
      </c>
      <c r="S20" s="42" t="n">
        <v>17</v>
      </c>
      <c r="T20" s="42" t="n">
        <v>17</v>
      </c>
      <c r="U20" s="42" t="n">
        <v>9</v>
      </c>
      <c r="V20" s="42" t="n">
        <v>12</v>
      </c>
      <c r="W20" s="42" t="n">
        <v>9</v>
      </c>
      <c r="X20" s="42" t="n">
        <v>21</v>
      </c>
      <c r="Y20" s="42" t="n">
        <v>12</v>
      </c>
      <c r="Z20" s="42" t="n">
        <v>3</v>
      </c>
      <c r="AA20" s="42" t="n">
        <v>6</v>
      </c>
      <c r="AB20" s="42" t="n">
        <v>38</v>
      </c>
      <c r="AC20" s="42" t="n">
        <v>15</v>
      </c>
      <c r="AD20" s="42" t="n">
        <v>0</v>
      </c>
      <c r="AE20" s="42" t="n">
        <v>0</v>
      </c>
      <c r="AF20" s="42" t="n">
        <v>16</v>
      </c>
      <c r="AG20" s="42" t="n">
        <v>16</v>
      </c>
      <c r="AH20" s="42" t="n">
        <v>16</v>
      </c>
      <c r="AI20" s="42" t="n">
        <v>0</v>
      </c>
      <c r="AJ20" s="42" t="n">
        <v>0</v>
      </c>
      <c r="AK20" s="42" t="n">
        <v>0</v>
      </c>
      <c r="AL20" s="42" t="n">
        <v>8</v>
      </c>
      <c r="AM20" s="42" t="n">
        <v>8</v>
      </c>
      <c r="AN20" s="42" t="n">
        <v>8</v>
      </c>
      <c r="AO20" s="42" t="n">
        <v>8</v>
      </c>
      <c r="AP20" s="42" t="n">
        <v>8</v>
      </c>
      <c r="AQ20" s="42" t="n">
        <v>8</v>
      </c>
      <c r="AR20" s="42" t="n">
        <v>8</v>
      </c>
      <c r="AS20" s="42" t="n">
        <v>8</v>
      </c>
      <c r="AT20" s="42" t="n">
        <v>8</v>
      </c>
      <c r="AU20" s="42" t="n">
        <v>8</v>
      </c>
      <c r="AV20" s="42" t="n">
        <v>8</v>
      </c>
      <c r="AW20" s="42" t="n">
        <v>8</v>
      </c>
      <c r="AX20" s="42" t="n">
        <v>8</v>
      </c>
      <c r="AY20" s="42" t="n">
        <v>8</v>
      </c>
      <c r="AZ20" s="42" t="n">
        <v>8</v>
      </c>
      <c r="BA20" s="42" t="n">
        <v>8</v>
      </c>
      <c r="BB20" s="42" t="n">
        <v>8</v>
      </c>
      <c r="BC20" s="42" t="n">
        <v>8</v>
      </c>
      <c r="BD20" s="42" t="n">
        <v>8</v>
      </c>
      <c r="BE20" s="42" t="n">
        <v>8</v>
      </c>
      <c r="BF20" s="42" t="n">
        <v>8</v>
      </c>
      <c r="BG20" s="42" t="n">
        <v>10</v>
      </c>
    </row>
  </sheetData>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W59"/>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117" width="4.15"/>
    <col collapsed="false" customWidth="true" hidden="true" outlineLevel="0" max="4" min="4" style="45" width="4.15"/>
    <col collapsed="false" customWidth="true" hidden="false" outlineLevel="0" max="5" min="5" style="42" width="3"/>
    <col collapsed="false" customWidth="true" hidden="false" outlineLevel="0" max="6" min="6" style="42" width="6"/>
    <col collapsed="false" customWidth="true" hidden="false" outlineLevel="0" max="7" min="7" style="42" width="60"/>
    <col collapsed="false" customWidth="true" hidden="true" outlineLevel="0" max="9" min="8" style="42" width="21.71"/>
    <col collapsed="false" customWidth="true" hidden="false" outlineLevel="0" max="10" min="10" style="42" width="0.15"/>
    <col collapsed="false" customWidth="true" hidden="false" outlineLevel="0" max="11" min="11" style="42" width="1"/>
    <col collapsed="false" customWidth="true" hidden="false" outlineLevel="0" max="22" min="12" style="42" width="8"/>
    <col collapsed="false" customWidth="false" hidden="true" outlineLevel="0" max="23" min="23" style="42" width="9.15"/>
  </cols>
  <sheetData>
    <row r="1" s="45" customFormat="true" ht="10.5" hidden="true" customHeight="true" outlineLevel="0" collapsed="false">
      <c r="A1" s="117"/>
      <c r="B1" s="117"/>
      <c r="C1" s="117"/>
      <c r="W1" s="45" t="s">
        <v>14</v>
      </c>
    </row>
    <row r="2" customFormat="false" ht="10.5" hidden="true" customHeight="true" outlineLevel="0" collapsed="false">
      <c r="W2" s="42" t="n">
        <v>0</v>
      </c>
    </row>
    <row r="3" s="48" customFormat="true" ht="10.5" hidden="true" customHeight="true" outlineLevel="0" collapsed="false">
      <c r="A3" s="117"/>
      <c r="B3" s="117"/>
      <c r="C3" s="117"/>
      <c r="D3" s="45"/>
      <c r="W3" s="48" t="n">
        <v>0</v>
      </c>
    </row>
    <row r="4" customFormat="false" ht="3" hidden="false" customHeight="true" outlineLevel="0" collapsed="false">
      <c r="W4" s="42" t="n">
        <v>3</v>
      </c>
    </row>
    <row r="5" customFormat="false" ht="27" hidden="false" customHeight="true" outlineLevel="0" collapsed="false">
      <c r="F5" s="215" t="str">
        <f aca="false">IP_NAME_FORM&amp;"
Финансовый план"</f>
        <v>Форма 7. Информация об инвестиционных программах организации водоотведения и отчетах об их исполнении
Финансовый план</v>
      </c>
      <c r="G5" s="215"/>
      <c r="H5" s="215"/>
      <c r="I5" s="215"/>
      <c r="J5" s="215"/>
      <c r="W5" s="42" t="n">
        <v>26</v>
      </c>
    </row>
    <row r="6" customFormat="false" ht="10.5" hidden="false" customHeight="true" outlineLevel="0" collapsed="false">
      <c r="F6" s="259" t="str">
        <f aca="false">IF(org=0,"Не определено",org)</f>
        <v>Филиал ПАО "ОГК-2" - Серовская ГРЭС, г. Серов</v>
      </c>
      <c r="G6" s="259"/>
      <c r="H6" s="259"/>
      <c r="I6" s="259"/>
      <c r="J6" s="259"/>
      <c r="W6" s="42" t="n">
        <v>10</v>
      </c>
    </row>
    <row r="7" customFormat="false" ht="11.25" hidden="false" customHeight="true" outlineLevel="0" collapsed="false">
      <c r="E7" s="83"/>
      <c r="F7" s="797"/>
      <c r="G7" s="797"/>
      <c r="H7" s="797"/>
      <c r="I7" s="797"/>
      <c r="J7" s="797"/>
      <c r="K7" s="136"/>
      <c r="L7" s="136"/>
      <c r="M7" s="136"/>
      <c r="N7" s="136"/>
      <c r="O7" s="136"/>
      <c r="P7" s="136"/>
      <c r="Q7" s="136"/>
      <c r="R7" s="136"/>
      <c r="S7" s="136"/>
      <c r="T7" s="136"/>
      <c r="U7" s="136"/>
      <c r="V7" s="136"/>
      <c r="W7" s="42" t="n">
        <v>11</v>
      </c>
    </row>
    <row r="8" s="49" customFormat="true" ht="3.75" hidden="false" customHeight="true" outlineLevel="0" collapsed="false">
      <c r="A8" s="462"/>
      <c r="B8" s="462"/>
      <c r="C8" s="462"/>
      <c r="E8" s="160"/>
      <c r="F8" s="798"/>
      <c r="G8" s="798"/>
      <c r="H8" s="798"/>
      <c r="I8" s="798"/>
      <c r="J8" s="798"/>
      <c r="K8" s="160"/>
      <c r="L8" s="160"/>
      <c r="M8" s="160"/>
      <c r="N8" s="160"/>
      <c r="O8" s="160"/>
      <c r="P8" s="160"/>
      <c r="Q8" s="160"/>
      <c r="R8" s="160"/>
      <c r="S8" s="160"/>
      <c r="T8" s="160"/>
      <c r="U8" s="160"/>
      <c r="V8" s="160"/>
      <c r="W8" s="49" t="n">
        <v>4</v>
      </c>
    </row>
    <row r="9" customFormat="false" ht="10.5" hidden="false" customHeight="true" outlineLevel="0" collapsed="false">
      <c r="E9" s="83"/>
      <c r="F9" s="799" t="s">
        <v>297</v>
      </c>
      <c r="G9" s="799"/>
      <c r="H9" s="799"/>
      <c r="I9" s="799"/>
      <c r="J9" s="799"/>
      <c r="K9" s="800"/>
      <c r="L9" s="136"/>
      <c r="M9" s="136"/>
      <c r="N9" s="136"/>
      <c r="O9" s="136"/>
      <c r="P9" s="136"/>
      <c r="Q9" s="136"/>
      <c r="R9" s="136"/>
      <c r="S9" s="136"/>
      <c r="T9" s="136"/>
      <c r="U9" s="136"/>
      <c r="V9" s="136"/>
      <c r="W9" s="42" t="n">
        <v>10</v>
      </c>
    </row>
    <row r="10" customFormat="false" ht="24.75" hidden="false" customHeight="true" outlineLevel="0" collapsed="false">
      <c r="E10" s="136"/>
      <c r="F10" s="371" t="s">
        <v>86</v>
      </c>
      <c r="G10" s="225" t="s">
        <v>1013</v>
      </c>
      <c r="H10" s="371" t="s">
        <v>1014</v>
      </c>
      <c r="I10" s="371"/>
      <c r="J10" s="371"/>
      <c r="K10" s="801"/>
      <c r="L10" s="136"/>
      <c r="M10" s="136"/>
      <c r="N10" s="136"/>
      <c r="O10" s="136"/>
      <c r="P10" s="136"/>
      <c r="Q10" s="136"/>
      <c r="R10" s="136"/>
      <c r="S10" s="136"/>
      <c r="T10" s="136"/>
      <c r="U10" s="136"/>
      <c r="V10" s="136"/>
      <c r="W10" s="42" t="n">
        <v>24</v>
      </c>
    </row>
    <row r="11" customFormat="false" ht="25.5" hidden="false" customHeight="true" outlineLevel="0" collapsed="false">
      <c r="E11" s="136"/>
      <c r="F11" s="371"/>
      <c r="G11" s="225"/>
      <c r="H11" s="802" t="e">
        <f aca="false">INDEX(IP_MAIN_LIST_NAME_IP,MATCH(H8,IP_MAIN_LIST_IP_ID,0))&amp;" ("&amp;INDEX(IP_MAIN_START_DATE,MATCH(H8,IP_MAIN_LIST_IP_ID,0))&amp;"-"&amp;INDEX(IP_MAIN_END_DATE,MATCH(H8,IP_MAIN_LIST_IP_ID,0))&amp;")"</f>
        <v>#N/A</v>
      </c>
      <c r="I11" s="802"/>
      <c r="J11" s="802"/>
      <c r="K11" s="801"/>
      <c r="L11" s="136"/>
      <c r="M11" s="136"/>
      <c r="N11" s="136"/>
      <c r="O11" s="136"/>
      <c r="P11" s="136"/>
      <c r="Q11" s="136"/>
      <c r="R11" s="136"/>
      <c r="S11" s="136"/>
      <c r="T11" s="136"/>
      <c r="U11" s="136"/>
      <c r="V11" s="136"/>
      <c r="W11" s="42" t="n">
        <v>24</v>
      </c>
    </row>
    <row r="12" customFormat="false" ht="10.5" hidden="false" customHeight="true" outlineLevel="0" collapsed="false">
      <c r="F12" s="371"/>
      <c r="G12" s="225"/>
      <c r="H12" s="225" t="s">
        <v>1015</v>
      </c>
      <c r="I12" s="803"/>
      <c r="J12" s="225"/>
      <c r="K12" s="804"/>
      <c r="W12" s="42" t="n">
        <v>10</v>
      </c>
    </row>
    <row r="13" customFormat="false" ht="10.5" hidden="true" customHeight="true" outlineLevel="0" collapsed="false">
      <c r="F13" s="225" t="n">
        <v>1</v>
      </c>
      <c r="G13" s="225" t="n">
        <v>2</v>
      </c>
      <c r="H13" s="225" t="n">
        <v>3</v>
      </c>
      <c r="I13" s="225" t="n">
        <v>4</v>
      </c>
      <c r="J13" s="225" t="n">
        <v>5</v>
      </c>
      <c r="K13" s="804"/>
      <c r="W13" s="42" t="n">
        <v>0</v>
      </c>
    </row>
    <row r="14" customFormat="false" ht="11.25" hidden="false" customHeight="true" outlineLevel="0" collapsed="false">
      <c r="F14" s="371" t="s">
        <v>1016</v>
      </c>
      <c r="G14" s="742" t="s">
        <v>1017</v>
      </c>
      <c r="H14" s="742"/>
      <c r="I14" s="742"/>
      <c r="J14" s="742"/>
      <c r="K14" s="804"/>
      <c r="W14" s="42" t="n">
        <v>11</v>
      </c>
    </row>
    <row r="15" customFormat="false" ht="11.25" hidden="false" customHeight="true" outlineLevel="0" collapsed="false">
      <c r="F15" s="225" t="n">
        <v>1</v>
      </c>
      <c r="G15" s="327" t="s">
        <v>1018</v>
      </c>
      <c r="H15" s="805" t="n">
        <f aca="false">SUM(I15:J15)</f>
        <v>0</v>
      </c>
      <c r="I15" s="805" t="n">
        <f aca="false">SUM(I16:I27)</f>
        <v>0</v>
      </c>
      <c r="J15" s="371"/>
      <c r="K15" s="804"/>
      <c r="W15" s="42" t="n">
        <v>11</v>
      </c>
    </row>
    <row r="16" customFormat="false" ht="24" hidden="false" customHeight="true" outlineLevel="0" collapsed="false">
      <c r="F16" s="225" t="s">
        <v>1019</v>
      </c>
      <c r="G16" s="740" t="s">
        <v>1020</v>
      </c>
      <c r="H16" s="805" t="n">
        <f aca="false">SUM(I16:J16)</f>
        <v>0</v>
      </c>
      <c r="I16" s="806"/>
      <c r="J16" s="371"/>
      <c r="K16" s="804"/>
      <c r="W16" s="42" t="n">
        <v>23</v>
      </c>
    </row>
    <row r="17" customFormat="false" ht="24" hidden="false" customHeight="true" outlineLevel="0" collapsed="false">
      <c r="F17" s="225" t="s">
        <v>1021</v>
      </c>
      <c r="G17" s="740" t="s">
        <v>1022</v>
      </c>
      <c r="H17" s="805" t="n">
        <f aca="false">SUM(I17:J17)</f>
        <v>0</v>
      </c>
      <c r="I17" s="806"/>
      <c r="J17" s="371"/>
      <c r="K17" s="804"/>
      <c r="W17" s="42" t="n">
        <v>23</v>
      </c>
    </row>
    <row r="18" customFormat="false" ht="35.25" hidden="false" customHeight="true" outlineLevel="0" collapsed="false">
      <c r="F18" s="225" t="s">
        <v>1023</v>
      </c>
      <c r="G18" s="740" t="s">
        <v>1024</v>
      </c>
      <c r="H18" s="805" t="n">
        <f aca="false">SUM(I18:J18)</f>
        <v>0</v>
      </c>
      <c r="I18" s="806"/>
      <c r="J18" s="371"/>
      <c r="K18" s="804"/>
      <c r="W18" s="42" t="n">
        <v>34</v>
      </c>
    </row>
    <row r="19" customFormat="false" ht="35.25" hidden="false" customHeight="true" outlineLevel="0" collapsed="false">
      <c r="F19" s="225" t="s">
        <v>1025</v>
      </c>
      <c r="G19" s="740" t="s">
        <v>1026</v>
      </c>
      <c r="H19" s="805" t="n">
        <f aca="false">SUM(I19:J19)</f>
        <v>0</v>
      </c>
      <c r="I19" s="806"/>
      <c r="J19" s="371"/>
      <c r="K19" s="804"/>
      <c r="W19" s="42" t="n">
        <v>34</v>
      </c>
    </row>
    <row r="20" customFormat="false" ht="48" hidden="false" customHeight="true" outlineLevel="0" collapsed="false">
      <c r="F20" s="225" t="s">
        <v>1027</v>
      </c>
      <c r="G20" s="740" t="s">
        <v>1028</v>
      </c>
      <c r="H20" s="805" t="n">
        <f aca="false">SUM(I20:J20)</f>
        <v>0</v>
      </c>
      <c r="I20" s="806"/>
      <c r="J20" s="371"/>
      <c r="K20" s="804"/>
      <c r="W20" s="42" t="n">
        <v>46</v>
      </c>
    </row>
    <row r="21" customFormat="false" ht="35.25" hidden="false" customHeight="true" outlineLevel="0" collapsed="false">
      <c r="F21" s="225" t="s">
        <v>1029</v>
      </c>
      <c r="G21" s="740" t="s">
        <v>1030</v>
      </c>
      <c r="H21" s="805" t="n">
        <f aca="false">SUM(I21:J21)</f>
        <v>0</v>
      </c>
      <c r="I21" s="806"/>
      <c r="J21" s="371"/>
      <c r="K21" s="804"/>
      <c r="W21" s="42" t="n">
        <v>34</v>
      </c>
    </row>
    <row r="22" customFormat="false" ht="35.25" hidden="false" customHeight="true" outlineLevel="0" collapsed="false">
      <c r="F22" s="225" t="s">
        <v>1031</v>
      </c>
      <c r="G22" s="740" t="s">
        <v>1032</v>
      </c>
      <c r="H22" s="805" t="n">
        <f aca="false">SUM(I22:J22)</f>
        <v>0</v>
      </c>
      <c r="I22" s="806"/>
      <c r="J22" s="371"/>
      <c r="K22" s="804"/>
      <c r="W22" s="42" t="n">
        <v>34</v>
      </c>
    </row>
    <row r="23" customFormat="false" ht="24" hidden="false" customHeight="true" outlineLevel="0" collapsed="false">
      <c r="F23" s="225" t="s">
        <v>1033</v>
      </c>
      <c r="G23" s="740" t="s">
        <v>1034</v>
      </c>
      <c r="H23" s="805" t="n">
        <f aca="false">SUM(I23:J23)</f>
        <v>0</v>
      </c>
      <c r="I23" s="806"/>
      <c r="J23" s="371"/>
      <c r="K23" s="804"/>
      <c r="W23" s="42" t="n">
        <v>23</v>
      </c>
    </row>
    <row r="24" customFormat="false" ht="24" hidden="false" customHeight="true" outlineLevel="0" collapsed="false">
      <c r="F24" s="225" t="s">
        <v>1035</v>
      </c>
      <c r="G24" s="740" t="s">
        <v>1036</v>
      </c>
      <c r="H24" s="805" t="n">
        <f aca="false">SUM(I24:J24)</f>
        <v>0</v>
      </c>
      <c r="I24" s="806"/>
      <c r="J24" s="371"/>
      <c r="K24" s="804"/>
      <c r="W24" s="42" t="n">
        <v>23</v>
      </c>
    </row>
    <row r="25" customFormat="false" ht="35.25" hidden="false" customHeight="true" outlineLevel="0" collapsed="false">
      <c r="F25" s="225" t="s">
        <v>1037</v>
      </c>
      <c r="G25" s="740" t="s">
        <v>1038</v>
      </c>
      <c r="H25" s="805" t="n">
        <f aca="false">SUM(I25:J25)</f>
        <v>0</v>
      </c>
      <c r="I25" s="806"/>
      <c r="J25" s="371"/>
      <c r="K25" s="804"/>
      <c r="W25" s="42" t="n">
        <v>34</v>
      </c>
    </row>
    <row r="26" customFormat="false" ht="35.25" hidden="false" customHeight="true" outlineLevel="0" collapsed="false">
      <c r="F26" s="225" t="s">
        <v>1039</v>
      </c>
      <c r="G26" s="740" t="s">
        <v>1040</v>
      </c>
      <c r="H26" s="805" t="n">
        <f aca="false">SUM(I26:J26)</f>
        <v>0</v>
      </c>
      <c r="I26" s="806"/>
      <c r="J26" s="371"/>
      <c r="K26" s="804"/>
      <c r="W26" s="42" t="n">
        <v>34</v>
      </c>
    </row>
    <row r="27" customFormat="false" ht="11.25" hidden="false" customHeight="true" outlineLevel="0" collapsed="false">
      <c r="F27" s="225" t="s">
        <v>1041</v>
      </c>
      <c r="G27" s="740" t="s">
        <v>1042</v>
      </c>
      <c r="H27" s="805" t="n">
        <f aca="false">SUM(I27:J27)</f>
        <v>0</v>
      </c>
      <c r="I27" s="806"/>
      <c r="J27" s="371"/>
      <c r="K27" s="804"/>
      <c r="W27" s="42" t="n">
        <v>11</v>
      </c>
    </row>
    <row r="28" customFormat="false" ht="11.25" hidden="false" customHeight="true" outlineLevel="0" collapsed="false">
      <c r="F28" s="225" t="n">
        <v>2</v>
      </c>
      <c r="G28" s="327" t="s">
        <v>1043</v>
      </c>
      <c r="H28" s="805" t="n">
        <f aca="false">SUM(I28:J28)</f>
        <v>0</v>
      </c>
      <c r="I28" s="805" t="n">
        <f aca="false">SUM(I29:I31)</f>
        <v>0</v>
      </c>
      <c r="J28" s="371"/>
      <c r="K28" s="804"/>
      <c r="W28" s="42" t="n">
        <v>11</v>
      </c>
    </row>
    <row r="29" customFormat="false" ht="11.25" hidden="false" customHeight="true" outlineLevel="0" collapsed="false">
      <c r="F29" s="225" t="s">
        <v>706</v>
      </c>
      <c r="G29" s="740" t="s">
        <v>1044</v>
      </c>
      <c r="H29" s="805" t="n">
        <f aca="false">SUM(I29:J29)</f>
        <v>0</v>
      </c>
      <c r="I29" s="806"/>
      <c r="J29" s="371"/>
      <c r="K29" s="804"/>
      <c r="W29" s="42" t="n">
        <v>11</v>
      </c>
    </row>
    <row r="30" customFormat="false" ht="11.25" hidden="false" customHeight="true" outlineLevel="0" collapsed="false">
      <c r="F30" s="225" t="s">
        <v>304</v>
      </c>
      <c r="G30" s="740" t="s">
        <v>1045</v>
      </c>
      <c r="H30" s="805" t="n">
        <f aca="false">SUM(I30:J30)</f>
        <v>0</v>
      </c>
      <c r="I30" s="806"/>
      <c r="J30" s="371"/>
      <c r="K30" s="804"/>
      <c r="W30" s="42" t="n">
        <v>11</v>
      </c>
    </row>
    <row r="31" customFormat="false" ht="11.25" hidden="false" customHeight="true" outlineLevel="0" collapsed="false">
      <c r="F31" s="225" t="s">
        <v>307</v>
      </c>
      <c r="G31" s="740" t="s">
        <v>1046</v>
      </c>
      <c r="H31" s="805" t="n">
        <f aca="false">SUM(I31:J31)</f>
        <v>0</v>
      </c>
      <c r="I31" s="806"/>
      <c r="J31" s="371"/>
      <c r="K31" s="804"/>
      <c r="W31" s="42" t="n">
        <v>11</v>
      </c>
    </row>
    <row r="32" customFormat="false" ht="11.25" hidden="false" customHeight="true" outlineLevel="0" collapsed="false">
      <c r="F32" s="225" t="n">
        <v>3</v>
      </c>
      <c r="G32" s="327" t="s">
        <v>1047</v>
      </c>
      <c r="H32" s="805" t="n">
        <f aca="false">SUM(I32:J32)</f>
        <v>0</v>
      </c>
      <c r="I32" s="805" t="n">
        <f aca="false">SUM(I33:I34)</f>
        <v>0</v>
      </c>
      <c r="J32" s="371"/>
      <c r="K32" s="804"/>
      <c r="W32" s="42" t="n">
        <v>11</v>
      </c>
    </row>
    <row r="33" customFormat="false" ht="48" hidden="false" customHeight="true" outlineLevel="0" collapsed="false">
      <c r="F33" s="225" t="s">
        <v>321</v>
      </c>
      <c r="G33" s="740" t="s">
        <v>1048</v>
      </c>
      <c r="H33" s="805" t="n">
        <f aca="false">SUM(I33:J33)</f>
        <v>0</v>
      </c>
      <c r="I33" s="806"/>
      <c r="J33" s="371"/>
      <c r="K33" s="804"/>
      <c r="W33" s="42" t="n">
        <v>46</v>
      </c>
    </row>
    <row r="34" customFormat="false" ht="11.25" hidden="false" customHeight="true" outlineLevel="0" collapsed="false">
      <c r="F34" s="225" t="s">
        <v>329</v>
      </c>
      <c r="G34" s="740" t="s">
        <v>1049</v>
      </c>
      <c r="H34" s="805" t="n">
        <f aca="false">SUM(I34:J34)</f>
        <v>0</v>
      </c>
      <c r="I34" s="806"/>
      <c r="J34" s="371"/>
      <c r="K34" s="804"/>
      <c r="W34" s="42" t="n">
        <v>11</v>
      </c>
    </row>
    <row r="35" customFormat="false" ht="11.25" hidden="false" customHeight="true" outlineLevel="0" collapsed="false">
      <c r="F35" s="225" t="n">
        <v>4</v>
      </c>
      <c r="G35" s="327" t="s">
        <v>1050</v>
      </c>
      <c r="H35" s="805" t="n">
        <f aca="false">SUM(I35:J35)</f>
        <v>0</v>
      </c>
      <c r="I35" s="806"/>
      <c r="J35" s="371"/>
      <c r="K35" s="804"/>
      <c r="W35" s="42" t="n">
        <v>11</v>
      </c>
    </row>
    <row r="36" customFormat="false" ht="11.25" hidden="false" customHeight="true" outlineLevel="0" collapsed="false">
      <c r="F36" s="225"/>
      <c r="G36" s="742" t="s">
        <v>1051</v>
      </c>
      <c r="H36" s="805" t="n">
        <f aca="false">SUM(I36:J36)</f>
        <v>0</v>
      </c>
      <c r="I36" s="805" t="n">
        <f aca="false">SUM(I15,I28,I32,I35)</f>
        <v>0</v>
      </c>
      <c r="J36" s="371"/>
      <c r="K36" s="804"/>
      <c r="W36" s="42" t="n">
        <v>11</v>
      </c>
    </row>
    <row r="37" customFormat="false" ht="29.25" hidden="false" customHeight="true" outlineLevel="0" collapsed="false">
      <c r="F37" s="371" t="s">
        <v>1052</v>
      </c>
      <c r="G37" s="312" t="s">
        <v>1053</v>
      </c>
      <c r="H37" s="312"/>
      <c r="I37" s="312"/>
      <c r="J37" s="312"/>
      <c r="K37" s="804"/>
      <c r="W37" s="42" t="n">
        <v>28</v>
      </c>
    </row>
    <row r="38" customFormat="false" ht="24" hidden="false" customHeight="true" outlineLevel="0" collapsed="false">
      <c r="F38" s="225" t="s">
        <v>107</v>
      </c>
      <c r="G38" s="327" t="s">
        <v>1054</v>
      </c>
      <c r="H38" s="805" t="n">
        <f aca="false">SUM(I38:J38)</f>
        <v>0</v>
      </c>
      <c r="I38" s="805" t="n">
        <f aca="false">SUM(I39,I44,I47)</f>
        <v>0</v>
      </c>
      <c r="J38" s="371"/>
      <c r="K38" s="804"/>
      <c r="W38" s="42" t="n">
        <v>23</v>
      </c>
    </row>
    <row r="39" customFormat="false" ht="11.25" hidden="false" customHeight="true" outlineLevel="0" collapsed="false">
      <c r="F39" s="225" t="s">
        <v>1019</v>
      </c>
      <c r="G39" s="740" t="s">
        <v>1018</v>
      </c>
      <c r="H39" s="805" t="n">
        <f aca="false">SUM(I39:J39)</f>
        <v>0</v>
      </c>
      <c r="I39" s="805" t="n">
        <f aca="false">SUM(I40:I43)</f>
        <v>0</v>
      </c>
      <c r="J39" s="371"/>
      <c r="K39" s="804"/>
      <c r="W39" s="42" t="n">
        <v>11</v>
      </c>
    </row>
    <row r="40" customFormat="false" ht="24" hidden="false" customHeight="true" outlineLevel="0" collapsed="false">
      <c r="F40" s="225" t="s">
        <v>1055</v>
      </c>
      <c r="G40" s="807" t="s">
        <v>1056</v>
      </c>
      <c r="H40" s="805" t="n">
        <f aca="false">SUM(I40:J40)</f>
        <v>0</v>
      </c>
      <c r="I40" s="806"/>
      <c r="J40" s="371"/>
      <c r="K40" s="804"/>
      <c r="W40" s="42" t="n">
        <v>23</v>
      </c>
    </row>
    <row r="41" customFormat="false" ht="11.25" hidden="false" customHeight="true" outlineLevel="0" collapsed="false">
      <c r="F41" s="225" t="s">
        <v>1057</v>
      </c>
      <c r="G41" s="807" t="s">
        <v>1058</v>
      </c>
      <c r="H41" s="805" t="n">
        <f aca="false">SUM(I41:J41)</f>
        <v>0</v>
      </c>
      <c r="I41" s="806"/>
      <c r="J41" s="371"/>
      <c r="K41" s="804"/>
      <c r="W41" s="42" t="n">
        <v>11</v>
      </c>
    </row>
    <row r="42" customFormat="false" ht="11.25" hidden="false" customHeight="true" outlineLevel="0" collapsed="false">
      <c r="F42" s="225" t="s">
        <v>1059</v>
      </c>
      <c r="G42" s="807" t="s">
        <v>1060</v>
      </c>
      <c r="H42" s="805" t="n">
        <f aca="false">SUM(I42:J42)</f>
        <v>0</v>
      </c>
      <c r="I42" s="806"/>
      <c r="J42" s="371"/>
      <c r="K42" s="804"/>
      <c r="W42" s="42" t="n">
        <v>11</v>
      </c>
    </row>
    <row r="43" customFormat="false" ht="35.25" hidden="false" customHeight="true" outlineLevel="0" collapsed="false">
      <c r="F43" s="225" t="s">
        <v>1061</v>
      </c>
      <c r="G43" s="807" t="s">
        <v>1062</v>
      </c>
      <c r="H43" s="805" t="n">
        <f aca="false">SUM(I43:J43)</f>
        <v>0</v>
      </c>
      <c r="I43" s="806"/>
      <c r="J43" s="371"/>
      <c r="K43" s="804"/>
      <c r="W43" s="42" t="n">
        <v>34</v>
      </c>
    </row>
    <row r="44" customFormat="false" ht="11.25" hidden="false" customHeight="true" outlineLevel="0" collapsed="false">
      <c r="F44" s="225" t="s">
        <v>1021</v>
      </c>
      <c r="G44" s="740" t="s">
        <v>1047</v>
      </c>
      <c r="H44" s="805" t="n">
        <f aca="false">SUM(I44:J44)</f>
        <v>0</v>
      </c>
      <c r="I44" s="805" t="n">
        <f aca="false">SUM(I45:I46)</f>
        <v>0</v>
      </c>
      <c r="J44" s="371"/>
      <c r="K44" s="804"/>
      <c r="W44" s="42" t="n">
        <v>11</v>
      </c>
    </row>
    <row r="45" customFormat="false" ht="48" hidden="false" customHeight="true" outlineLevel="0" collapsed="false">
      <c r="F45" s="225" t="s">
        <v>1063</v>
      </c>
      <c r="G45" s="807" t="s">
        <v>1048</v>
      </c>
      <c r="H45" s="805" t="n">
        <f aca="false">SUM(I45:J45)</f>
        <v>0</v>
      </c>
      <c r="I45" s="806"/>
      <c r="J45" s="371"/>
      <c r="K45" s="804"/>
      <c r="W45" s="42" t="n">
        <v>46</v>
      </c>
    </row>
    <row r="46" customFormat="false" ht="11.25" hidden="false" customHeight="true" outlineLevel="0" collapsed="false">
      <c r="F46" s="225" t="s">
        <v>1064</v>
      </c>
      <c r="G46" s="807" t="s">
        <v>1049</v>
      </c>
      <c r="H46" s="805" t="n">
        <f aca="false">SUM(I46:J46)</f>
        <v>0</v>
      </c>
      <c r="I46" s="806"/>
      <c r="J46" s="371"/>
      <c r="K46" s="804"/>
      <c r="W46" s="42" t="n">
        <v>11</v>
      </c>
    </row>
    <row r="47" customFormat="false" ht="11.25" hidden="false" customHeight="true" outlineLevel="0" collapsed="false">
      <c r="F47" s="225" t="s">
        <v>1023</v>
      </c>
      <c r="G47" s="740" t="s">
        <v>1065</v>
      </c>
      <c r="H47" s="805" t="n">
        <f aca="false">SUM(I47:J47)</f>
        <v>0</v>
      </c>
      <c r="I47" s="806"/>
      <c r="J47" s="371"/>
      <c r="K47" s="804"/>
      <c r="W47" s="42" t="n">
        <v>11</v>
      </c>
    </row>
    <row r="48" customFormat="false" ht="24" hidden="false" customHeight="true" outlineLevel="0" collapsed="false">
      <c r="F48" s="225" t="s">
        <v>108</v>
      </c>
      <c r="G48" s="327" t="s">
        <v>1066</v>
      </c>
      <c r="H48" s="805" t="n">
        <f aca="false">SUM(I48:J48)</f>
        <v>0</v>
      </c>
      <c r="I48" s="805" t="n">
        <f aca="false">SUM(I49,I54,I57)</f>
        <v>0</v>
      </c>
      <c r="J48" s="371"/>
      <c r="K48" s="804"/>
      <c r="W48" s="42" t="n">
        <v>23</v>
      </c>
    </row>
    <row r="49" customFormat="false" ht="11.25" hidden="false" customHeight="true" outlineLevel="0" collapsed="false">
      <c r="F49" s="225" t="s">
        <v>706</v>
      </c>
      <c r="G49" s="740" t="s">
        <v>1018</v>
      </c>
      <c r="H49" s="805" t="n">
        <f aca="false">SUM(I49:J49)</f>
        <v>0</v>
      </c>
      <c r="I49" s="805" t="n">
        <f aca="false">SUM(I50:I53)</f>
        <v>0</v>
      </c>
      <c r="J49" s="371"/>
      <c r="K49" s="804"/>
      <c r="W49" s="42" t="n">
        <v>11</v>
      </c>
    </row>
    <row r="50" customFormat="false" ht="24" hidden="false" customHeight="true" outlineLevel="0" collapsed="false">
      <c r="F50" s="225" t="s">
        <v>709</v>
      </c>
      <c r="G50" s="807" t="s">
        <v>1056</v>
      </c>
      <c r="H50" s="805" t="n">
        <f aca="false">SUM(I50:J50)</f>
        <v>0</v>
      </c>
      <c r="I50" s="806"/>
      <c r="J50" s="371"/>
      <c r="K50" s="804"/>
      <c r="W50" s="42" t="n">
        <v>23</v>
      </c>
    </row>
    <row r="51" customFormat="false" ht="11.25" hidden="false" customHeight="true" outlineLevel="0" collapsed="false">
      <c r="F51" s="225" t="s">
        <v>712</v>
      </c>
      <c r="G51" s="807" t="s">
        <v>1058</v>
      </c>
      <c r="H51" s="805" t="n">
        <f aca="false">SUM(I51:J51)</f>
        <v>0</v>
      </c>
      <c r="I51" s="806"/>
      <c r="J51" s="371"/>
      <c r="K51" s="804"/>
      <c r="W51" s="42" t="n">
        <v>11</v>
      </c>
    </row>
    <row r="52" customFormat="false" ht="11.25" hidden="false" customHeight="true" outlineLevel="0" collapsed="false">
      <c r="F52" s="225" t="s">
        <v>1067</v>
      </c>
      <c r="G52" s="807" t="s">
        <v>1060</v>
      </c>
      <c r="H52" s="805" t="n">
        <f aca="false">SUM(I52:J52)</f>
        <v>0</v>
      </c>
      <c r="I52" s="806"/>
      <c r="J52" s="371"/>
      <c r="K52" s="804"/>
      <c r="W52" s="42" t="n">
        <v>11</v>
      </c>
    </row>
    <row r="53" customFormat="false" ht="35.25" hidden="false" customHeight="true" outlineLevel="0" collapsed="false">
      <c r="F53" s="225" t="s">
        <v>1068</v>
      </c>
      <c r="G53" s="807" t="s">
        <v>1062</v>
      </c>
      <c r="H53" s="805" t="n">
        <f aca="false">SUM(I53:J53)</f>
        <v>0</v>
      </c>
      <c r="I53" s="806"/>
      <c r="J53" s="371"/>
      <c r="K53" s="804"/>
      <c r="W53" s="42" t="n">
        <v>34</v>
      </c>
    </row>
    <row r="54" customFormat="false" ht="11.25" hidden="false" customHeight="true" outlineLevel="0" collapsed="false">
      <c r="F54" s="225" t="s">
        <v>304</v>
      </c>
      <c r="G54" s="740" t="s">
        <v>1047</v>
      </c>
      <c r="H54" s="805" t="n">
        <f aca="false">SUM(I54:J54)</f>
        <v>0</v>
      </c>
      <c r="I54" s="805" t="n">
        <f aca="false">SUM(I55:I56)</f>
        <v>0</v>
      </c>
      <c r="J54" s="371"/>
      <c r="K54" s="804"/>
      <c r="W54" s="42" t="n">
        <v>11</v>
      </c>
    </row>
    <row r="55" customFormat="false" ht="48" hidden="false" customHeight="true" outlineLevel="0" collapsed="false">
      <c r="F55" s="225" t="s">
        <v>716</v>
      </c>
      <c r="G55" s="807" t="s">
        <v>1048</v>
      </c>
      <c r="H55" s="805" t="n">
        <f aca="false">SUM(I55:J55)</f>
        <v>0</v>
      </c>
      <c r="I55" s="806"/>
      <c r="J55" s="371"/>
      <c r="K55" s="804"/>
      <c r="W55" s="42" t="n">
        <v>46</v>
      </c>
    </row>
    <row r="56" customFormat="false" ht="11.25" hidden="false" customHeight="true" outlineLevel="0" collapsed="false">
      <c r="F56" s="225" t="s">
        <v>718</v>
      </c>
      <c r="G56" s="807" t="s">
        <v>1049</v>
      </c>
      <c r="H56" s="805" t="n">
        <f aca="false">SUM(I56:J56)</f>
        <v>0</v>
      </c>
      <c r="I56" s="806"/>
      <c r="J56" s="371"/>
      <c r="K56" s="804"/>
      <c r="W56" s="42" t="n">
        <v>11</v>
      </c>
    </row>
    <row r="57" customFormat="false" ht="11.25" hidden="false" customHeight="true" outlineLevel="0" collapsed="false">
      <c r="F57" s="225" t="s">
        <v>307</v>
      </c>
      <c r="G57" s="740" t="s">
        <v>1065</v>
      </c>
      <c r="H57" s="805" t="n">
        <f aca="false">SUM(I57:J57)</f>
        <v>0</v>
      </c>
      <c r="I57" s="806"/>
      <c r="J57" s="371"/>
      <c r="K57" s="804"/>
      <c r="W57" s="42" t="n">
        <v>11</v>
      </c>
    </row>
    <row r="58" customFormat="false" ht="11.25" hidden="false" customHeight="true" outlineLevel="0" collapsed="false">
      <c r="F58" s="225"/>
      <c r="G58" s="312" t="s">
        <v>1051</v>
      </c>
      <c r="H58" s="805" t="n">
        <f aca="false">SUM(I58:J58)</f>
        <v>0</v>
      </c>
      <c r="I58" s="805" t="n">
        <f aca="false">SUM(I38,I48)</f>
        <v>0</v>
      </c>
      <c r="J58" s="371"/>
      <c r="K58" s="804"/>
      <c r="W58" s="42" t="n">
        <v>11</v>
      </c>
    </row>
    <row r="59" customFormat="false" ht="10.5" hidden="true" customHeight="true" outlineLevel="0" collapsed="false">
      <c r="A59" s="117" t="s">
        <v>80</v>
      </c>
      <c r="B59" s="117" t="n">
        <v>0</v>
      </c>
      <c r="C59" s="117" t="n">
        <v>0</v>
      </c>
      <c r="D59" s="45" t="n">
        <v>0</v>
      </c>
      <c r="E59" s="42" t="n">
        <v>3</v>
      </c>
      <c r="F59" s="42" t="n">
        <v>6</v>
      </c>
      <c r="G59" s="42" t="n">
        <v>60</v>
      </c>
      <c r="H59" s="42" t="n">
        <v>0</v>
      </c>
      <c r="I59" s="42" t="n">
        <v>0</v>
      </c>
      <c r="J59" s="42" t="n">
        <v>0</v>
      </c>
      <c r="K59" s="42" t="n">
        <v>1</v>
      </c>
      <c r="L59" s="42" t="n">
        <v>8</v>
      </c>
      <c r="M59" s="42" t="n">
        <v>8</v>
      </c>
      <c r="N59" s="42" t="n">
        <v>8</v>
      </c>
      <c r="O59" s="42" t="n">
        <v>8</v>
      </c>
      <c r="P59" s="42" t="n">
        <v>8</v>
      </c>
      <c r="Q59" s="42" t="n">
        <v>8</v>
      </c>
      <c r="R59" s="42" t="n">
        <v>8</v>
      </c>
      <c r="S59" s="42" t="n">
        <v>8</v>
      </c>
      <c r="T59" s="42" t="n">
        <v>8</v>
      </c>
      <c r="U59" s="42" t="n">
        <v>8</v>
      </c>
      <c r="V59" s="42" t="n">
        <v>8</v>
      </c>
      <c r="W59" s="42" t="n">
        <v>10</v>
      </c>
    </row>
  </sheetData>
  <mergeCells count="9">
    <mergeCell ref="F5:J5"/>
    <mergeCell ref="F6:J6"/>
    <mergeCell ref="F9:J9"/>
    <mergeCell ref="F10:F12"/>
    <mergeCell ref="G10:G12"/>
    <mergeCell ref="H10:J10"/>
    <mergeCell ref="H11:J11"/>
    <mergeCell ref="G14:J14"/>
    <mergeCell ref="G37:J37"/>
  </mergeCells>
  <dataValidations count="1">
    <dataValidation allowBlank="true" error="Допускается ввод только неотрицательных чисел!" errorStyle="stop" errorTitle="Ошибка" operator="between" showDropDown="false" showErrorMessage="true" showInputMessage="false" sqref="I16:I27 I29:I31 I33:I35 I40:I43 I45:I47 I50:I53 I55:I57" type="decimal">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GC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2" zeroHeight="false" outlineLevelRow="0" outlineLevelCol="0"/>
  <cols>
    <col collapsed="false" customWidth="true" hidden="true" outlineLevel="0" max="1" min="1" style="808" width="4.71"/>
    <col collapsed="false" customWidth="true" hidden="true" outlineLevel="0" max="2" min="2" style="809" width="4.71"/>
    <col collapsed="false" customWidth="true" hidden="true" outlineLevel="0" max="4" min="3" style="808" width="4.71"/>
    <col collapsed="false" customWidth="true" hidden="false" outlineLevel="0" max="5" min="5" style="808" width="3"/>
    <col collapsed="false" customWidth="true" hidden="false" outlineLevel="0" max="6" min="6" style="808" width="6"/>
    <col collapsed="false" customWidth="true" hidden="false" outlineLevel="0" max="7" min="7" style="808" width="18"/>
    <col collapsed="false" customWidth="true" hidden="false" outlineLevel="0" max="8" min="8" style="808" width="27"/>
    <col collapsed="false" customWidth="true" hidden="false" outlineLevel="0" max="9" min="9" style="808" width="18"/>
    <col collapsed="false" customWidth="true" hidden="true" outlineLevel="0" max="14" min="10" style="808" width="0.85"/>
    <col collapsed="false" customWidth="true" hidden="true" outlineLevel="0" max="28" min="15" style="808" width="21.71"/>
    <col collapsed="false" customWidth="true" hidden="true" outlineLevel="0" max="71" min="29" style="808" width="0.85"/>
    <col collapsed="false" customWidth="true" hidden="true" outlineLevel="0" max="79" min="72" style="808" width="21.71"/>
    <col collapsed="false" customWidth="true" hidden="true" outlineLevel="0" max="81" min="80" style="808" width="29.15"/>
    <col collapsed="false" customWidth="true" hidden="true" outlineLevel="0" max="89" min="82" style="808" width="21.71"/>
    <col collapsed="false" customWidth="true" hidden="true" outlineLevel="0" max="102" min="90" style="808" width="0.71"/>
    <col collapsed="false" customWidth="true" hidden="false" outlineLevel="0" max="114" min="103" style="808" width="21.71"/>
    <col collapsed="false" customWidth="true" hidden="false" outlineLevel="0" max="128" min="115" style="808" width="0.71"/>
    <col collapsed="false" customWidth="true" hidden="true" outlineLevel="0" max="178" min="129" style="808" width="0.71"/>
    <col collapsed="false" customWidth="true" hidden="false" outlineLevel="0" max="179" min="179" style="808" width="0.15"/>
    <col collapsed="false" customWidth="true" hidden="false" outlineLevel="0" max="184" min="180" style="808" width="8"/>
    <col collapsed="false" customWidth="false" hidden="true" outlineLevel="0" max="185" min="185" style="808" width="9.15"/>
  </cols>
  <sheetData>
    <row r="1" s="810" customFormat="true" ht="12" hidden="true" customHeight="true" outlineLevel="0" collapsed="false">
      <c r="B1" s="811"/>
      <c r="GC1" s="810" t="s">
        <v>14</v>
      </c>
    </row>
    <row r="2" s="810" customFormat="true" ht="12" hidden="true" customHeight="true" outlineLevel="0" collapsed="false">
      <c r="B2" s="811"/>
      <c r="GC2" s="810" t="n">
        <v>0</v>
      </c>
    </row>
    <row r="3" s="810" customFormat="true" ht="12" hidden="true" customHeight="true" outlineLevel="0" collapsed="false">
      <c r="B3" s="811"/>
      <c r="GC3" s="810" t="n">
        <v>0</v>
      </c>
    </row>
    <row r="4" customFormat="false" ht="10.5" hidden="false" customHeight="true" outlineLevel="0" collapsed="false">
      <c r="H4" s="812"/>
      <c r="I4" s="812"/>
      <c r="J4" s="812"/>
      <c r="K4" s="812"/>
      <c r="L4" s="812"/>
      <c r="GC4" s="808" t="n">
        <v>10</v>
      </c>
    </row>
    <row r="5" s="618" customFormat="true" ht="27" hidden="false" customHeight="true" outlineLevel="0" collapsed="false">
      <c r="B5" s="813"/>
      <c r="E5" s="814"/>
      <c r="F5" s="815" t="str">
        <f aca="false">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815"/>
      <c r="H5" s="815"/>
      <c r="I5" s="815"/>
      <c r="J5" s="815"/>
      <c r="K5" s="815"/>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5"/>
      <c r="AN5" s="815"/>
      <c r="AO5" s="815"/>
      <c r="AP5" s="815"/>
      <c r="AQ5" s="815"/>
      <c r="AR5" s="815"/>
      <c r="AS5" s="815"/>
      <c r="AT5" s="815"/>
      <c r="AU5" s="815"/>
      <c r="AV5" s="815"/>
      <c r="AW5" s="815"/>
      <c r="AX5" s="815"/>
      <c r="AY5" s="815"/>
      <c r="AZ5" s="815"/>
      <c r="BA5" s="815"/>
      <c r="BB5" s="815"/>
      <c r="BC5" s="815"/>
      <c r="BD5" s="815"/>
      <c r="BE5" s="815"/>
      <c r="BF5" s="815"/>
      <c r="BG5" s="815"/>
      <c r="BH5" s="815"/>
      <c r="BI5" s="815"/>
      <c r="BJ5" s="815"/>
      <c r="BK5" s="815"/>
      <c r="BL5" s="815"/>
      <c r="BM5" s="815"/>
      <c r="BN5" s="815"/>
      <c r="BO5" s="815"/>
      <c r="BP5" s="815"/>
      <c r="BQ5" s="815"/>
      <c r="BR5" s="815"/>
      <c r="BS5" s="815"/>
      <c r="GC5" s="618" t="n">
        <v>26</v>
      </c>
    </row>
    <row r="6" s="118" customFormat="true" ht="18.75" hidden="false" customHeight="true" outlineLevel="0" collapsed="false">
      <c r="B6" s="680"/>
      <c r="E6" s="307"/>
      <c r="F6" s="816" t="str">
        <f aca="false">IF(org=0,"Не определено",org)</f>
        <v>Филиал ПАО "ОГК-2" - Серовская ГРЭС, г. Серов</v>
      </c>
      <c r="G6" s="816"/>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6"/>
      <c r="AY6" s="816"/>
      <c r="AZ6" s="816"/>
      <c r="BA6" s="816"/>
      <c r="BB6" s="816"/>
      <c r="BC6" s="816"/>
      <c r="BD6" s="816"/>
      <c r="BE6" s="816"/>
      <c r="BF6" s="816"/>
      <c r="BG6" s="816"/>
      <c r="BH6" s="816"/>
      <c r="BI6" s="816"/>
      <c r="BJ6" s="816"/>
      <c r="BK6" s="816"/>
      <c r="BL6" s="816"/>
      <c r="BM6" s="816"/>
      <c r="BN6" s="816"/>
      <c r="BO6" s="816"/>
      <c r="BP6" s="816"/>
      <c r="BQ6" s="816"/>
      <c r="BR6" s="816"/>
      <c r="BS6" s="816"/>
      <c r="GC6" s="118" t="n">
        <v>18</v>
      </c>
    </row>
    <row r="7" s="817" customFormat="true" ht="10.5" hidden="false" customHeight="true" outlineLevel="0" collapsed="false">
      <c r="B7" s="818"/>
      <c r="G7" s="819"/>
      <c r="H7" s="812"/>
      <c r="I7" s="812"/>
      <c r="J7" s="812"/>
      <c r="K7" s="812"/>
      <c r="L7" s="812"/>
      <c r="GC7" s="817" t="n">
        <v>10</v>
      </c>
    </row>
    <row r="8" s="817" customFormat="true" ht="11.25" hidden="true" customHeight="true" outlineLevel="0" collapsed="false">
      <c r="B8" s="818"/>
      <c r="F8" s="118"/>
      <c r="G8" s="43"/>
      <c r="H8" s="136"/>
      <c r="I8" s="136"/>
      <c r="J8" s="136"/>
      <c r="K8" s="136"/>
      <c r="L8" s="136"/>
      <c r="M8" s="118"/>
      <c r="N8" s="118"/>
      <c r="O8" s="820" t="s">
        <v>1069</v>
      </c>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820"/>
      <c r="BF8" s="820"/>
      <c r="BG8" s="820"/>
      <c r="BH8" s="820"/>
      <c r="BI8" s="820"/>
      <c r="BJ8" s="820"/>
      <c r="BK8" s="820"/>
      <c r="BL8" s="820"/>
      <c r="BM8" s="820"/>
      <c r="BN8" s="820"/>
      <c r="BO8" s="820"/>
      <c r="BP8" s="820"/>
      <c r="BQ8" s="820"/>
      <c r="BR8" s="820"/>
      <c r="BS8" s="820"/>
      <c r="BT8" s="821"/>
      <c r="BU8" s="821"/>
      <c r="BV8" s="821"/>
      <c r="BW8" s="821"/>
      <c r="BX8" s="821"/>
      <c r="BY8" s="821"/>
      <c r="BZ8" s="821"/>
      <c r="CA8" s="821"/>
      <c r="CB8" s="821"/>
      <c r="CC8" s="821"/>
      <c r="CD8" s="821"/>
      <c r="CE8" s="821"/>
      <c r="CF8" s="821"/>
      <c r="CG8" s="821"/>
      <c r="CH8" s="821"/>
      <c r="CI8" s="821"/>
      <c r="CJ8" s="821"/>
      <c r="CK8" s="821"/>
      <c r="CL8" s="821"/>
      <c r="CM8" s="821"/>
      <c r="CN8" s="821"/>
      <c r="CO8" s="821"/>
      <c r="CP8" s="821"/>
      <c r="CQ8" s="821"/>
      <c r="CR8" s="821"/>
      <c r="CS8" s="821"/>
      <c r="CT8" s="821"/>
      <c r="CU8" s="821"/>
      <c r="CV8" s="821"/>
      <c r="CW8" s="821"/>
      <c r="CX8" s="821"/>
      <c r="CY8" s="822"/>
      <c r="CZ8" s="822"/>
      <c r="DA8" s="822"/>
      <c r="DB8" s="822"/>
      <c r="DC8" s="822"/>
      <c r="DD8" s="822"/>
      <c r="DE8" s="822"/>
      <c r="DF8" s="822"/>
      <c r="DG8" s="822"/>
      <c r="DH8" s="822"/>
      <c r="DI8" s="822"/>
      <c r="DJ8" s="822"/>
      <c r="DK8" s="822"/>
      <c r="DL8" s="822"/>
      <c r="DM8" s="822"/>
      <c r="DN8" s="822"/>
      <c r="DO8" s="822"/>
      <c r="DP8" s="822"/>
      <c r="DQ8" s="822"/>
      <c r="DR8" s="822"/>
      <c r="DS8" s="822"/>
      <c r="DT8" s="822"/>
      <c r="DU8" s="822"/>
      <c r="DV8" s="822"/>
      <c r="DW8" s="822"/>
      <c r="DX8" s="822"/>
      <c r="DY8" s="823" t="s">
        <v>1070</v>
      </c>
      <c r="DZ8" s="823"/>
      <c r="EA8" s="823"/>
      <c r="EB8" s="823"/>
      <c r="EC8" s="823"/>
      <c r="ED8" s="823"/>
      <c r="EE8" s="823"/>
      <c r="EF8" s="823"/>
      <c r="EG8" s="823"/>
      <c r="EH8" s="823"/>
      <c r="EI8" s="823"/>
      <c r="EJ8" s="823"/>
      <c r="EK8" s="823"/>
      <c r="EL8" s="823"/>
      <c r="EM8" s="823"/>
      <c r="EN8" s="823"/>
      <c r="EO8" s="823"/>
      <c r="EP8" s="823"/>
      <c r="EQ8" s="823"/>
      <c r="ER8" s="823"/>
      <c r="ES8" s="823"/>
      <c r="ET8" s="823"/>
      <c r="EU8" s="823"/>
      <c r="EV8" s="823"/>
      <c r="EW8" s="823"/>
      <c r="EX8" s="823"/>
      <c r="EY8" s="823"/>
      <c r="EZ8" s="823"/>
      <c r="FA8" s="823"/>
      <c r="FB8" s="823"/>
      <c r="FC8" s="823"/>
      <c r="FD8" s="823"/>
      <c r="FE8" s="823"/>
      <c r="FF8" s="823"/>
      <c r="FG8" s="823"/>
      <c r="FH8" s="823"/>
      <c r="FI8" s="823"/>
      <c r="FJ8" s="823"/>
      <c r="FK8" s="823"/>
      <c r="FL8" s="823"/>
      <c r="FM8" s="823"/>
      <c r="FN8" s="823"/>
      <c r="FO8" s="823"/>
      <c r="FP8" s="823"/>
      <c r="FQ8" s="823"/>
      <c r="FR8" s="823"/>
      <c r="FS8" s="823"/>
      <c r="FT8" s="823"/>
      <c r="FU8" s="823"/>
      <c r="FV8" s="823"/>
      <c r="FW8" s="824"/>
      <c r="FX8" s="118"/>
      <c r="GC8" s="817" t="n">
        <v>0</v>
      </c>
    </row>
    <row r="9" s="817" customFormat="true" ht="11.25" hidden="true" customHeight="true" outlineLevel="0" collapsed="false">
      <c r="B9" s="818"/>
      <c r="F9" s="118"/>
      <c r="G9" s="43"/>
      <c r="H9" s="136"/>
      <c r="I9" s="136"/>
      <c r="J9" s="136"/>
      <c r="K9" s="136"/>
      <c r="L9" s="136"/>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824"/>
      <c r="FX9" s="118"/>
      <c r="GC9" s="817" t="n">
        <v>0</v>
      </c>
    </row>
    <row r="10" s="817" customFormat="true" ht="11.25" hidden="false" customHeight="true" outlineLevel="0" collapsed="false">
      <c r="B10" s="818"/>
      <c r="F10" s="200" t="s">
        <v>297</v>
      </c>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c r="EB10" s="200"/>
      <c r="EC10" s="200"/>
      <c r="ED10" s="200"/>
      <c r="EE10" s="200"/>
      <c r="EF10" s="200"/>
      <c r="EG10" s="200"/>
      <c r="EH10" s="200"/>
      <c r="EI10" s="200"/>
      <c r="EJ10" s="200"/>
      <c r="EK10" s="200"/>
      <c r="EL10" s="200"/>
      <c r="EM10" s="200"/>
      <c r="EN10" s="200"/>
      <c r="EO10" s="200"/>
      <c r="EP10" s="200"/>
      <c r="EQ10" s="200"/>
      <c r="ER10" s="200"/>
      <c r="ES10" s="200"/>
      <c r="ET10" s="200"/>
      <c r="EU10" s="200"/>
      <c r="EV10" s="200"/>
      <c r="EW10" s="200"/>
      <c r="EX10" s="200"/>
      <c r="EY10" s="200"/>
      <c r="EZ10" s="200"/>
      <c r="FA10" s="200"/>
      <c r="FB10" s="200"/>
      <c r="FC10" s="200"/>
      <c r="FD10" s="200"/>
      <c r="FE10" s="200"/>
      <c r="FF10" s="200"/>
      <c r="FG10" s="200"/>
      <c r="FH10" s="200"/>
      <c r="FI10" s="200"/>
      <c r="FJ10" s="200"/>
      <c r="FK10" s="200"/>
      <c r="FL10" s="200"/>
      <c r="FM10" s="200"/>
      <c r="FN10" s="200"/>
      <c r="FO10" s="200"/>
      <c r="FP10" s="200"/>
      <c r="FQ10" s="200"/>
      <c r="FR10" s="200"/>
      <c r="FS10" s="200"/>
      <c r="FT10" s="200"/>
      <c r="FU10" s="200"/>
      <c r="FV10" s="200"/>
      <c r="FW10" s="824"/>
      <c r="FX10" s="118"/>
      <c r="GC10" s="817" t="n">
        <v>11</v>
      </c>
    </row>
    <row r="11" customFormat="false" ht="12.75" hidden="false" customHeight="true" outlineLevel="0" collapsed="false">
      <c r="E11" s="825"/>
      <c r="F11" s="295" t="s">
        <v>86</v>
      </c>
      <c r="G11" s="295" t="s">
        <v>1071</v>
      </c>
      <c r="H11" s="295" t="s">
        <v>1072</v>
      </c>
      <c r="I11" s="295" t="s">
        <v>1073</v>
      </c>
      <c r="J11" s="826"/>
      <c r="K11" s="826"/>
      <c r="L11" s="826"/>
      <c r="M11" s="826"/>
      <c r="N11" s="826"/>
      <c r="O11" s="395" t="s">
        <v>1074</v>
      </c>
      <c r="P11" s="395"/>
      <c r="Q11" s="395"/>
      <c r="R11" s="395"/>
      <c r="S11" s="395"/>
      <c r="T11" s="395"/>
      <c r="U11" s="395"/>
      <c r="V11" s="395"/>
      <c r="W11" s="395"/>
      <c r="X11" s="395"/>
      <c r="Y11" s="395"/>
      <c r="Z11" s="395"/>
      <c r="AA11" s="395"/>
      <c r="AB11" s="395"/>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7"/>
      <c r="AY11" s="827"/>
      <c r="AZ11" s="827"/>
      <c r="BA11" s="827"/>
      <c r="BB11" s="827"/>
      <c r="BC11" s="827"/>
      <c r="BD11" s="827"/>
      <c r="BE11" s="827"/>
      <c r="BF11" s="827"/>
      <c r="BG11" s="827"/>
      <c r="BH11" s="827"/>
      <c r="BI11" s="827"/>
      <c r="BJ11" s="827"/>
      <c r="BK11" s="827"/>
      <c r="BL11" s="827"/>
      <c r="BM11" s="827"/>
      <c r="BN11" s="827"/>
      <c r="BO11" s="827"/>
      <c r="BP11" s="827"/>
      <c r="BQ11" s="827"/>
      <c r="BR11" s="827"/>
      <c r="BS11" s="828"/>
      <c r="BT11" s="395" t="s">
        <v>1074</v>
      </c>
      <c r="BU11" s="395"/>
      <c r="BV11" s="395"/>
      <c r="BW11" s="395"/>
      <c r="BX11" s="395"/>
      <c r="BY11" s="395"/>
      <c r="BZ11" s="395"/>
      <c r="CA11" s="395"/>
      <c r="CB11" s="395"/>
      <c r="CC11" s="395"/>
      <c r="CD11" s="395"/>
      <c r="CE11" s="395"/>
      <c r="CF11" s="395"/>
      <c r="CG11" s="395"/>
      <c r="CH11" s="395"/>
      <c r="CI11" s="395"/>
      <c r="CJ11" s="395"/>
      <c r="CK11" s="395"/>
      <c r="CL11" s="829"/>
      <c r="CM11" s="827"/>
      <c r="CN11" s="827"/>
      <c r="CO11" s="827"/>
      <c r="CP11" s="827"/>
      <c r="CQ11" s="827"/>
      <c r="CR11" s="827"/>
      <c r="CS11" s="827"/>
      <c r="CT11" s="827"/>
      <c r="CU11" s="827"/>
      <c r="CV11" s="827"/>
      <c r="CW11" s="827"/>
      <c r="CX11" s="828"/>
      <c r="CY11" s="395" t="s">
        <v>1074</v>
      </c>
      <c r="CZ11" s="395"/>
      <c r="DA11" s="395"/>
      <c r="DB11" s="395"/>
      <c r="DC11" s="395"/>
      <c r="DD11" s="395"/>
      <c r="DE11" s="395"/>
      <c r="DF11" s="395"/>
      <c r="DG11" s="395"/>
      <c r="DH11" s="395"/>
      <c r="DI11" s="395"/>
      <c r="DJ11" s="395"/>
      <c r="DK11" s="829"/>
      <c r="DL11" s="827"/>
      <c r="DM11" s="827"/>
      <c r="DN11" s="827"/>
      <c r="DO11" s="827"/>
      <c r="DP11" s="827"/>
      <c r="DQ11" s="827"/>
      <c r="DR11" s="827"/>
      <c r="DS11" s="827"/>
      <c r="DT11" s="827"/>
      <c r="DU11" s="827"/>
      <c r="DV11" s="827"/>
      <c r="DW11" s="827"/>
      <c r="DX11" s="827"/>
      <c r="DY11" s="827"/>
      <c r="DZ11" s="827"/>
      <c r="EA11" s="827"/>
      <c r="EB11" s="827"/>
      <c r="EC11" s="827"/>
      <c r="ED11" s="827"/>
      <c r="EE11" s="827"/>
      <c r="EF11" s="827"/>
      <c r="EG11" s="827"/>
      <c r="EH11" s="827"/>
      <c r="EI11" s="827"/>
      <c r="EJ11" s="827"/>
      <c r="EK11" s="827"/>
      <c r="EL11" s="827"/>
      <c r="EM11" s="827"/>
      <c r="EN11" s="827"/>
      <c r="EO11" s="827"/>
      <c r="EP11" s="827"/>
      <c r="EQ11" s="827"/>
      <c r="ER11" s="827"/>
      <c r="ES11" s="827"/>
      <c r="ET11" s="827"/>
      <c r="EU11" s="827"/>
      <c r="EV11" s="827"/>
      <c r="EW11" s="827"/>
      <c r="EX11" s="827"/>
      <c r="EY11" s="827"/>
      <c r="EZ11" s="827"/>
      <c r="FA11" s="827"/>
      <c r="FB11" s="827"/>
      <c r="FC11" s="827"/>
      <c r="FD11" s="827"/>
      <c r="FE11" s="827"/>
      <c r="FF11" s="827"/>
      <c r="FG11" s="827"/>
      <c r="FH11" s="827"/>
      <c r="FI11" s="827"/>
      <c r="FJ11" s="827"/>
      <c r="FK11" s="827"/>
      <c r="FL11" s="827"/>
      <c r="FM11" s="827"/>
      <c r="FN11" s="827"/>
      <c r="FO11" s="827"/>
      <c r="FP11" s="827"/>
      <c r="FQ11" s="827"/>
      <c r="FR11" s="827"/>
      <c r="FS11" s="827"/>
      <c r="FT11" s="827"/>
      <c r="FU11" s="827"/>
      <c r="FV11" s="827"/>
      <c r="FW11" s="824"/>
      <c r="FX11" s="52"/>
      <c r="GC11" s="808" t="n">
        <v>12</v>
      </c>
    </row>
    <row r="12" customFormat="false" ht="12.75" hidden="false" customHeight="true" outlineLevel="0" collapsed="false">
      <c r="D12" s="812"/>
      <c r="E12" s="825"/>
      <c r="F12" s="295"/>
      <c r="G12" s="295"/>
      <c r="H12" s="295"/>
      <c r="I12" s="295"/>
      <c r="J12" s="826"/>
      <c r="K12" s="826"/>
      <c r="L12" s="826"/>
      <c r="M12" s="826"/>
      <c r="N12" s="826"/>
      <c r="O12" s="395" t="s">
        <v>1075</v>
      </c>
      <c r="P12" s="395"/>
      <c r="Q12" s="395"/>
      <c r="R12" s="395"/>
      <c r="S12" s="395" t="s">
        <v>1076</v>
      </c>
      <c r="T12" s="395"/>
      <c r="U12" s="395"/>
      <c r="V12" s="395"/>
      <c r="W12" s="395"/>
      <c r="X12" s="395"/>
      <c r="Y12" s="395"/>
      <c r="Z12" s="395"/>
      <c r="AA12" s="395"/>
      <c r="AB12" s="395"/>
      <c r="AC12" s="827"/>
      <c r="AD12" s="827"/>
      <c r="AE12" s="827"/>
      <c r="AF12" s="827"/>
      <c r="AG12" s="827"/>
      <c r="AH12" s="827"/>
      <c r="AI12" s="827"/>
      <c r="AJ12" s="827"/>
      <c r="AK12" s="827"/>
      <c r="AL12" s="827"/>
      <c r="AM12" s="827"/>
      <c r="AN12" s="827"/>
      <c r="AO12" s="827"/>
      <c r="AP12" s="827"/>
      <c r="AQ12" s="827"/>
      <c r="AR12" s="827"/>
      <c r="AS12" s="827"/>
      <c r="AT12" s="827"/>
      <c r="AU12" s="827"/>
      <c r="AV12" s="827"/>
      <c r="AW12" s="827"/>
      <c r="AX12" s="827"/>
      <c r="AY12" s="827"/>
      <c r="AZ12" s="827"/>
      <c r="BA12" s="827"/>
      <c r="BB12" s="827"/>
      <c r="BC12" s="827"/>
      <c r="BD12" s="827"/>
      <c r="BE12" s="827"/>
      <c r="BF12" s="827"/>
      <c r="BG12" s="827"/>
      <c r="BH12" s="827"/>
      <c r="BI12" s="827"/>
      <c r="BJ12" s="827"/>
      <c r="BK12" s="827"/>
      <c r="BL12" s="827"/>
      <c r="BM12" s="827"/>
      <c r="BN12" s="827"/>
      <c r="BO12" s="827"/>
      <c r="BP12" s="827"/>
      <c r="BQ12" s="827"/>
      <c r="BR12" s="827"/>
      <c r="BS12" s="828"/>
      <c r="BT12" s="395" t="s">
        <v>1077</v>
      </c>
      <c r="BU12" s="395"/>
      <c r="BV12" s="395"/>
      <c r="BW12" s="395"/>
      <c r="BX12" s="395" t="s">
        <v>1078</v>
      </c>
      <c r="BY12" s="395"/>
      <c r="BZ12" s="395"/>
      <c r="CA12" s="395"/>
      <c r="CB12" s="395" t="s">
        <v>1079</v>
      </c>
      <c r="CC12" s="395"/>
      <c r="CD12" s="395" t="s">
        <v>1080</v>
      </c>
      <c r="CE12" s="395"/>
      <c r="CF12" s="395"/>
      <c r="CG12" s="395"/>
      <c r="CH12" s="395"/>
      <c r="CI12" s="395"/>
      <c r="CJ12" s="395"/>
      <c r="CK12" s="395"/>
      <c r="CL12" s="829"/>
      <c r="CM12" s="827"/>
      <c r="CN12" s="827"/>
      <c r="CO12" s="827"/>
      <c r="CP12" s="827"/>
      <c r="CQ12" s="827"/>
      <c r="CR12" s="827"/>
      <c r="CS12" s="827"/>
      <c r="CT12" s="827"/>
      <c r="CU12" s="827"/>
      <c r="CV12" s="827"/>
      <c r="CW12" s="827"/>
      <c r="CX12" s="828"/>
      <c r="CY12" s="395" t="s">
        <v>1081</v>
      </c>
      <c r="CZ12" s="395"/>
      <c r="DA12" s="395"/>
      <c r="DB12" s="395"/>
      <c r="DC12" s="395"/>
      <c r="DD12" s="395"/>
      <c r="DE12" s="395" t="s">
        <v>1082</v>
      </c>
      <c r="DF12" s="395"/>
      <c r="DG12" s="395" t="s">
        <v>1080</v>
      </c>
      <c r="DH12" s="395"/>
      <c r="DI12" s="395"/>
      <c r="DJ12" s="395"/>
      <c r="DK12" s="829"/>
      <c r="DL12" s="827"/>
      <c r="DM12" s="827"/>
      <c r="DN12" s="827"/>
      <c r="DO12" s="827"/>
      <c r="DP12" s="827"/>
      <c r="DQ12" s="827"/>
      <c r="DR12" s="827"/>
      <c r="DS12" s="827"/>
      <c r="DT12" s="827"/>
      <c r="DU12" s="827"/>
      <c r="DV12" s="827"/>
      <c r="DW12" s="827"/>
      <c r="DX12" s="827"/>
      <c r="DY12" s="827"/>
      <c r="DZ12" s="827"/>
      <c r="EA12" s="827"/>
      <c r="EB12" s="827"/>
      <c r="EC12" s="827"/>
      <c r="ED12" s="827"/>
      <c r="EE12" s="827"/>
      <c r="EF12" s="827"/>
      <c r="EG12" s="827"/>
      <c r="EH12" s="827"/>
      <c r="EI12" s="827"/>
      <c r="EJ12" s="827"/>
      <c r="EK12" s="827"/>
      <c r="EL12" s="827"/>
      <c r="EM12" s="827"/>
      <c r="EN12" s="827"/>
      <c r="EO12" s="827"/>
      <c r="EP12" s="827"/>
      <c r="EQ12" s="827"/>
      <c r="ER12" s="827"/>
      <c r="ES12" s="827"/>
      <c r="ET12" s="827"/>
      <c r="EU12" s="827"/>
      <c r="EV12" s="827"/>
      <c r="EW12" s="827"/>
      <c r="EX12" s="827"/>
      <c r="EY12" s="827"/>
      <c r="EZ12" s="827"/>
      <c r="FA12" s="827"/>
      <c r="FB12" s="827"/>
      <c r="FC12" s="827"/>
      <c r="FD12" s="827"/>
      <c r="FE12" s="827"/>
      <c r="FF12" s="827"/>
      <c r="FG12" s="827"/>
      <c r="FH12" s="827"/>
      <c r="FI12" s="827"/>
      <c r="FJ12" s="827"/>
      <c r="FK12" s="827"/>
      <c r="FL12" s="827"/>
      <c r="FM12" s="827"/>
      <c r="FN12" s="827"/>
      <c r="FO12" s="827"/>
      <c r="FP12" s="827"/>
      <c r="FQ12" s="827"/>
      <c r="FR12" s="827"/>
      <c r="FS12" s="827"/>
      <c r="FT12" s="827"/>
      <c r="FU12" s="827"/>
      <c r="FV12" s="827"/>
      <c r="FW12" s="824"/>
      <c r="FX12" s="52"/>
      <c r="GC12" s="808" t="n">
        <v>12</v>
      </c>
    </row>
    <row r="13" customFormat="false" ht="37.5" hidden="false" customHeight="true" outlineLevel="0" collapsed="false">
      <c r="D13" s="812"/>
      <c r="E13" s="825"/>
      <c r="F13" s="295"/>
      <c r="G13" s="295"/>
      <c r="H13" s="295"/>
      <c r="I13" s="295"/>
      <c r="J13" s="826"/>
      <c r="K13" s="826"/>
      <c r="L13" s="826"/>
      <c r="M13" s="826"/>
      <c r="N13" s="826"/>
      <c r="O13" s="395" t="s">
        <v>1083</v>
      </c>
      <c r="P13" s="395"/>
      <c r="Q13" s="395"/>
      <c r="R13" s="395"/>
      <c r="S13" s="395" t="s">
        <v>1084</v>
      </c>
      <c r="T13" s="395"/>
      <c r="U13" s="138" t="s">
        <v>1085</v>
      </c>
      <c r="V13" s="138"/>
      <c r="W13" s="138"/>
      <c r="X13" s="138"/>
      <c r="Y13" s="138" t="s">
        <v>1086</v>
      </c>
      <c r="Z13" s="138"/>
      <c r="AA13" s="138"/>
      <c r="AB13" s="138"/>
      <c r="AC13" s="827"/>
      <c r="AD13" s="827"/>
      <c r="AE13" s="827"/>
      <c r="AF13" s="827"/>
      <c r="AG13" s="827"/>
      <c r="AH13" s="827"/>
      <c r="AI13" s="827"/>
      <c r="AJ13" s="827"/>
      <c r="AK13" s="827"/>
      <c r="AL13" s="827"/>
      <c r="AM13" s="827"/>
      <c r="AN13" s="827"/>
      <c r="AO13" s="827"/>
      <c r="AP13" s="827"/>
      <c r="AQ13" s="827"/>
      <c r="AR13" s="827"/>
      <c r="AS13" s="827"/>
      <c r="AT13" s="827"/>
      <c r="AU13" s="827"/>
      <c r="AV13" s="827"/>
      <c r="AW13" s="827"/>
      <c r="AX13" s="827"/>
      <c r="AY13" s="827"/>
      <c r="AZ13" s="827"/>
      <c r="BA13" s="827"/>
      <c r="BB13" s="827"/>
      <c r="BC13" s="827"/>
      <c r="BD13" s="827"/>
      <c r="BE13" s="827"/>
      <c r="BF13" s="827"/>
      <c r="BG13" s="827"/>
      <c r="BH13" s="827"/>
      <c r="BI13" s="827"/>
      <c r="BJ13" s="827"/>
      <c r="BK13" s="827"/>
      <c r="BL13" s="827"/>
      <c r="BM13" s="827"/>
      <c r="BN13" s="827"/>
      <c r="BO13" s="827"/>
      <c r="BP13" s="827"/>
      <c r="BQ13" s="827"/>
      <c r="BR13" s="827"/>
      <c r="BS13" s="828"/>
      <c r="BT13" s="395" t="s">
        <v>1087</v>
      </c>
      <c r="BU13" s="395"/>
      <c r="BV13" s="395" t="s">
        <v>1088</v>
      </c>
      <c r="BW13" s="395"/>
      <c r="BX13" s="395" t="s">
        <v>1089</v>
      </c>
      <c r="BY13" s="395"/>
      <c r="BZ13" s="395" t="s">
        <v>1090</v>
      </c>
      <c r="CA13" s="395"/>
      <c r="CB13" s="395" t="s">
        <v>1091</v>
      </c>
      <c r="CC13" s="395"/>
      <c r="CD13" s="395" t="s">
        <v>1092</v>
      </c>
      <c r="CE13" s="395"/>
      <c r="CF13" s="395" t="s">
        <v>1093</v>
      </c>
      <c r="CG13" s="395"/>
      <c r="CH13" s="395" t="s">
        <v>1094</v>
      </c>
      <c r="CI13" s="395"/>
      <c r="CJ13" s="395"/>
      <c r="CK13" s="395"/>
      <c r="CL13" s="829"/>
      <c r="CM13" s="827"/>
      <c r="CN13" s="827"/>
      <c r="CO13" s="827"/>
      <c r="CP13" s="827"/>
      <c r="CQ13" s="827"/>
      <c r="CR13" s="827"/>
      <c r="CS13" s="827"/>
      <c r="CT13" s="827"/>
      <c r="CU13" s="827"/>
      <c r="CV13" s="827"/>
      <c r="CW13" s="827"/>
      <c r="CX13" s="828"/>
      <c r="CY13" s="395" t="s">
        <v>1095</v>
      </c>
      <c r="CZ13" s="395"/>
      <c r="DA13" s="395" t="s">
        <v>1096</v>
      </c>
      <c r="DB13" s="395"/>
      <c r="DC13" s="395" t="s">
        <v>1097</v>
      </c>
      <c r="DD13" s="395"/>
      <c r="DE13" s="395" t="s">
        <v>1098</v>
      </c>
      <c r="DF13" s="395"/>
      <c r="DG13" s="395" t="s">
        <v>1099</v>
      </c>
      <c r="DH13" s="395"/>
      <c r="DI13" s="395"/>
      <c r="DJ13" s="395"/>
      <c r="DK13" s="829"/>
      <c r="DL13" s="827"/>
      <c r="DM13" s="827"/>
      <c r="DN13" s="827"/>
      <c r="DO13" s="827"/>
      <c r="DP13" s="827"/>
      <c r="DQ13" s="827"/>
      <c r="DR13" s="827"/>
      <c r="DS13" s="827"/>
      <c r="DT13" s="827"/>
      <c r="DU13" s="827"/>
      <c r="DV13" s="827"/>
      <c r="DW13" s="827"/>
      <c r="DX13" s="827"/>
      <c r="DY13" s="827"/>
      <c r="DZ13" s="827"/>
      <c r="EA13" s="827"/>
      <c r="EB13" s="827"/>
      <c r="EC13" s="827"/>
      <c r="ED13" s="827"/>
      <c r="EE13" s="827"/>
      <c r="EF13" s="827"/>
      <c r="EG13" s="827"/>
      <c r="EH13" s="827"/>
      <c r="EI13" s="827"/>
      <c r="EJ13" s="827"/>
      <c r="EK13" s="827"/>
      <c r="EL13" s="827"/>
      <c r="EM13" s="827"/>
      <c r="EN13" s="827"/>
      <c r="EO13" s="827"/>
      <c r="EP13" s="827"/>
      <c r="EQ13" s="827"/>
      <c r="ER13" s="827"/>
      <c r="ES13" s="827"/>
      <c r="ET13" s="827"/>
      <c r="EU13" s="827"/>
      <c r="EV13" s="827"/>
      <c r="EW13" s="827"/>
      <c r="EX13" s="827"/>
      <c r="EY13" s="827"/>
      <c r="EZ13" s="827"/>
      <c r="FA13" s="827"/>
      <c r="FB13" s="827"/>
      <c r="FC13" s="827"/>
      <c r="FD13" s="827"/>
      <c r="FE13" s="827"/>
      <c r="FF13" s="827"/>
      <c r="FG13" s="827"/>
      <c r="FH13" s="827"/>
      <c r="FI13" s="827"/>
      <c r="FJ13" s="827"/>
      <c r="FK13" s="827"/>
      <c r="FL13" s="827"/>
      <c r="FM13" s="827"/>
      <c r="FN13" s="827"/>
      <c r="FO13" s="827"/>
      <c r="FP13" s="827"/>
      <c r="FQ13" s="827"/>
      <c r="FR13" s="827"/>
      <c r="FS13" s="827"/>
      <c r="FT13" s="827"/>
      <c r="FU13" s="827"/>
      <c r="FV13" s="827"/>
      <c r="FW13" s="824"/>
      <c r="FX13" s="52"/>
      <c r="GC13" s="808" t="n">
        <v>36</v>
      </c>
    </row>
    <row r="14" customFormat="false" ht="37.5" hidden="false" customHeight="true" outlineLevel="0" collapsed="false">
      <c r="D14" s="812"/>
      <c r="E14" s="825"/>
      <c r="F14" s="295"/>
      <c r="G14" s="295"/>
      <c r="H14" s="295"/>
      <c r="I14" s="295"/>
      <c r="J14" s="826"/>
      <c r="K14" s="826"/>
      <c r="L14" s="826"/>
      <c r="M14" s="826"/>
      <c r="N14" s="826"/>
      <c r="O14" s="395" t="s">
        <v>1100</v>
      </c>
      <c r="P14" s="395"/>
      <c r="Q14" s="395" t="s">
        <v>1101</v>
      </c>
      <c r="R14" s="395"/>
      <c r="S14" s="395"/>
      <c r="T14" s="395"/>
      <c r="U14" s="395" t="s">
        <v>833</v>
      </c>
      <c r="V14" s="395"/>
      <c r="W14" s="395" t="s">
        <v>836</v>
      </c>
      <c r="X14" s="395"/>
      <c r="Y14" s="395" t="s">
        <v>833</v>
      </c>
      <c r="Z14" s="395"/>
      <c r="AA14" s="395" t="s">
        <v>843</v>
      </c>
      <c r="AB14" s="395"/>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28"/>
      <c r="BT14" s="395"/>
      <c r="BU14" s="395"/>
      <c r="BV14" s="395"/>
      <c r="BW14" s="395"/>
      <c r="BX14" s="395"/>
      <c r="BY14" s="395"/>
      <c r="BZ14" s="395"/>
      <c r="CA14" s="395"/>
      <c r="CB14" s="395"/>
      <c r="CC14" s="395"/>
      <c r="CD14" s="395"/>
      <c r="CE14" s="395"/>
      <c r="CF14" s="395"/>
      <c r="CG14" s="395"/>
      <c r="CH14" s="795" t="s">
        <v>1102</v>
      </c>
      <c r="CI14" s="795"/>
      <c r="CJ14" s="795" t="s">
        <v>1103</v>
      </c>
      <c r="CK14" s="795"/>
      <c r="CL14" s="829"/>
      <c r="CM14" s="827"/>
      <c r="CN14" s="827"/>
      <c r="CO14" s="827"/>
      <c r="CP14" s="827"/>
      <c r="CQ14" s="827"/>
      <c r="CR14" s="827"/>
      <c r="CS14" s="827"/>
      <c r="CT14" s="827"/>
      <c r="CU14" s="827"/>
      <c r="CV14" s="827"/>
      <c r="CW14" s="827"/>
      <c r="CX14" s="828"/>
      <c r="CY14" s="395"/>
      <c r="CZ14" s="395"/>
      <c r="DA14" s="395"/>
      <c r="DB14" s="395"/>
      <c r="DC14" s="395"/>
      <c r="DD14" s="395"/>
      <c r="DE14" s="395"/>
      <c r="DF14" s="395"/>
      <c r="DG14" s="395" t="s">
        <v>1104</v>
      </c>
      <c r="DH14" s="395"/>
      <c r="DI14" s="395" t="s">
        <v>1105</v>
      </c>
      <c r="DJ14" s="395"/>
      <c r="DK14" s="829"/>
      <c r="DL14" s="827"/>
      <c r="DM14" s="827"/>
      <c r="DN14" s="827"/>
      <c r="DO14" s="827"/>
      <c r="DP14" s="827"/>
      <c r="DQ14" s="827"/>
      <c r="DR14" s="827"/>
      <c r="DS14" s="827"/>
      <c r="DT14" s="827"/>
      <c r="DU14" s="827"/>
      <c r="DV14" s="827"/>
      <c r="DW14" s="827"/>
      <c r="DX14" s="827"/>
      <c r="DY14" s="827"/>
      <c r="DZ14" s="827"/>
      <c r="EA14" s="827"/>
      <c r="EB14" s="827"/>
      <c r="EC14" s="827"/>
      <c r="ED14" s="827"/>
      <c r="EE14" s="827"/>
      <c r="EF14" s="827"/>
      <c r="EG14" s="827"/>
      <c r="EH14" s="827"/>
      <c r="EI14" s="827"/>
      <c r="EJ14" s="827"/>
      <c r="EK14" s="827"/>
      <c r="EL14" s="827"/>
      <c r="EM14" s="827"/>
      <c r="EN14" s="827"/>
      <c r="EO14" s="827"/>
      <c r="EP14" s="827"/>
      <c r="EQ14" s="827"/>
      <c r="ER14" s="827"/>
      <c r="ES14" s="827"/>
      <c r="ET14" s="827"/>
      <c r="EU14" s="827"/>
      <c r="EV14" s="827"/>
      <c r="EW14" s="827"/>
      <c r="EX14" s="827"/>
      <c r="EY14" s="827"/>
      <c r="EZ14" s="827"/>
      <c r="FA14" s="827"/>
      <c r="FB14" s="827"/>
      <c r="FC14" s="827"/>
      <c r="FD14" s="827"/>
      <c r="FE14" s="827"/>
      <c r="FF14" s="827"/>
      <c r="FG14" s="827"/>
      <c r="FH14" s="827"/>
      <c r="FI14" s="827"/>
      <c r="FJ14" s="827"/>
      <c r="FK14" s="827"/>
      <c r="FL14" s="827"/>
      <c r="FM14" s="827"/>
      <c r="FN14" s="827"/>
      <c r="FO14" s="827"/>
      <c r="FP14" s="827"/>
      <c r="FQ14" s="827"/>
      <c r="FR14" s="827"/>
      <c r="FS14" s="827"/>
      <c r="FT14" s="827"/>
      <c r="FU14" s="827"/>
      <c r="FV14" s="827"/>
      <c r="FW14" s="824"/>
      <c r="FX14" s="52"/>
      <c r="GC14" s="808" t="n">
        <v>36</v>
      </c>
    </row>
    <row r="15" customFormat="false" ht="37.5" hidden="false" customHeight="true" outlineLevel="0" collapsed="false">
      <c r="D15" s="812"/>
      <c r="E15" s="825"/>
      <c r="F15" s="295"/>
      <c r="G15" s="295"/>
      <c r="H15" s="295"/>
      <c r="I15" s="295"/>
      <c r="J15" s="826"/>
      <c r="K15" s="826"/>
      <c r="L15" s="826"/>
      <c r="M15" s="826"/>
      <c r="N15" s="826"/>
      <c r="O15" s="395"/>
      <c r="P15" s="395"/>
      <c r="Q15" s="395"/>
      <c r="R15" s="395"/>
      <c r="S15" s="395"/>
      <c r="T15" s="395"/>
      <c r="U15" s="395"/>
      <c r="V15" s="395"/>
      <c r="W15" s="395"/>
      <c r="X15" s="395"/>
      <c r="Y15" s="395"/>
      <c r="Z15" s="395"/>
      <c r="AA15" s="395"/>
      <c r="AB15" s="395"/>
      <c r="AC15" s="827"/>
      <c r="AD15" s="827"/>
      <c r="AE15" s="827"/>
      <c r="AF15" s="827"/>
      <c r="AG15" s="827"/>
      <c r="AH15" s="827"/>
      <c r="AI15" s="827"/>
      <c r="AJ15" s="827"/>
      <c r="AK15" s="827"/>
      <c r="AL15" s="827"/>
      <c r="AM15" s="827"/>
      <c r="AN15" s="827"/>
      <c r="AO15" s="827"/>
      <c r="AP15" s="827"/>
      <c r="AQ15" s="827"/>
      <c r="AR15" s="827"/>
      <c r="AS15" s="827"/>
      <c r="AT15" s="827"/>
      <c r="AU15" s="827"/>
      <c r="AV15" s="827"/>
      <c r="AW15" s="827"/>
      <c r="AX15" s="827"/>
      <c r="AY15" s="827"/>
      <c r="AZ15" s="827"/>
      <c r="BA15" s="827"/>
      <c r="BB15" s="827"/>
      <c r="BC15" s="827"/>
      <c r="BD15" s="827"/>
      <c r="BE15" s="827"/>
      <c r="BF15" s="827"/>
      <c r="BG15" s="827"/>
      <c r="BH15" s="827"/>
      <c r="BI15" s="827"/>
      <c r="BJ15" s="827"/>
      <c r="BK15" s="827"/>
      <c r="BL15" s="827"/>
      <c r="BM15" s="827"/>
      <c r="BN15" s="827"/>
      <c r="BO15" s="827"/>
      <c r="BP15" s="827"/>
      <c r="BQ15" s="827"/>
      <c r="BR15" s="827"/>
      <c r="BS15" s="828"/>
      <c r="BT15" s="395"/>
      <c r="BU15" s="395"/>
      <c r="BV15" s="395"/>
      <c r="BW15" s="395"/>
      <c r="BX15" s="395"/>
      <c r="BY15" s="395"/>
      <c r="BZ15" s="395"/>
      <c r="CA15" s="395"/>
      <c r="CB15" s="395"/>
      <c r="CC15" s="395"/>
      <c r="CD15" s="395"/>
      <c r="CE15" s="395"/>
      <c r="CF15" s="395"/>
      <c r="CG15" s="395"/>
      <c r="CH15" s="795"/>
      <c r="CI15" s="795"/>
      <c r="CJ15" s="795"/>
      <c r="CK15" s="795"/>
      <c r="CL15" s="829"/>
      <c r="CM15" s="827"/>
      <c r="CN15" s="827"/>
      <c r="CO15" s="827"/>
      <c r="CP15" s="827"/>
      <c r="CQ15" s="827"/>
      <c r="CR15" s="827"/>
      <c r="CS15" s="827"/>
      <c r="CT15" s="827"/>
      <c r="CU15" s="827"/>
      <c r="CV15" s="827"/>
      <c r="CW15" s="827"/>
      <c r="CX15" s="828"/>
      <c r="CY15" s="395"/>
      <c r="CZ15" s="395"/>
      <c r="DA15" s="395"/>
      <c r="DB15" s="395"/>
      <c r="DC15" s="395"/>
      <c r="DD15" s="395"/>
      <c r="DE15" s="395"/>
      <c r="DF15" s="395"/>
      <c r="DG15" s="395"/>
      <c r="DH15" s="395"/>
      <c r="DI15" s="395"/>
      <c r="DJ15" s="395"/>
      <c r="DK15" s="829"/>
      <c r="DL15" s="827"/>
      <c r="DM15" s="827"/>
      <c r="DN15" s="827"/>
      <c r="DO15" s="827"/>
      <c r="DP15" s="827"/>
      <c r="DQ15" s="827"/>
      <c r="DR15" s="827"/>
      <c r="DS15" s="827"/>
      <c r="DT15" s="827"/>
      <c r="DU15" s="827"/>
      <c r="DV15" s="827"/>
      <c r="DW15" s="827"/>
      <c r="DX15" s="827"/>
      <c r="DY15" s="827"/>
      <c r="DZ15" s="827"/>
      <c r="EA15" s="827"/>
      <c r="EB15" s="827"/>
      <c r="EC15" s="827"/>
      <c r="ED15" s="827"/>
      <c r="EE15" s="827"/>
      <c r="EF15" s="827"/>
      <c r="EG15" s="827"/>
      <c r="EH15" s="827"/>
      <c r="EI15" s="827"/>
      <c r="EJ15" s="827"/>
      <c r="EK15" s="827"/>
      <c r="EL15" s="827"/>
      <c r="EM15" s="827"/>
      <c r="EN15" s="827"/>
      <c r="EO15" s="827"/>
      <c r="EP15" s="827"/>
      <c r="EQ15" s="827"/>
      <c r="ER15" s="827"/>
      <c r="ES15" s="827"/>
      <c r="ET15" s="827"/>
      <c r="EU15" s="827"/>
      <c r="EV15" s="827"/>
      <c r="EW15" s="827"/>
      <c r="EX15" s="827"/>
      <c r="EY15" s="827"/>
      <c r="EZ15" s="827"/>
      <c r="FA15" s="827"/>
      <c r="FB15" s="827"/>
      <c r="FC15" s="827"/>
      <c r="FD15" s="827"/>
      <c r="FE15" s="827"/>
      <c r="FF15" s="827"/>
      <c r="FG15" s="827"/>
      <c r="FH15" s="827"/>
      <c r="FI15" s="827"/>
      <c r="FJ15" s="827"/>
      <c r="FK15" s="827"/>
      <c r="FL15" s="827"/>
      <c r="FM15" s="827"/>
      <c r="FN15" s="827"/>
      <c r="FO15" s="827"/>
      <c r="FP15" s="827"/>
      <c r="FQ15" s="827"/>
      <c r="FR15" s="827"/>
      <c r="FS15" s="827"/>
      <c r="FT15" s="827"/>
      <c r="FU15" s="827"/>
      <c r="FV15" s="827"/>
      <c r="FW15" s="824"/>
      <c r="FX15" s="52"/>
      <c r="GC15" s="808" t="n">
        <v>36</v>
      </c>
    </row>
    <row r="16" customFormat="false" ht="12.75" hidden="false" customHeight="true" outlineLevel="0" collapsed="false">
      <c r="D16" s="812"/>
      <c r="E16" s="825"/>
      <c r="F16" s="295"/>
      <c r="G16" s="295"/>
      <c r="H16" s="295"/>
      <c r="I16" s="295"/>
      <c r="J16" s="826"/>
      <c r="K16" s="826"/>
      <c r="L16" s="826"/>
      <c r="M16" s="826"/>
      <c r="N16" s="826"/>
      <c r="O16" s="395" t="s">
        <v>823</v>
      </c>
      <c r="P16" s="395"/>
      <c r="Q16" s="395" t="s">
        <v>825</v>
      </c>
      <c r="R16" s="395"/>
      <c r="S16" s="395" t="s">
        <v>829</v>
      </c>
      <c r="T16" s="395"/>
      <c r="U16" s="395" t="s">
        <v>834</v>
      </c>
      <c r="V16" s="395"/>
      <c r="W16" s="395" t="s">
        <v>837</v>
      </c>
      <c r="X16" s="395"/>
      <c r="Y16" s="395" t="s">
        <v>841</v>
      </c>
      <c r="Z16" s="395"/>
      <c r="AA16" s="395" t="s">
        <v>844</v>
      </c>
      <c r="AB16" s="395"/>
      <c r="AC16" s="827"/>
      <c r="AD16" s="827"/>
      <c r="AE16" s="827"/>
      <c r="AF16" s="827"/>
      <c r="AG16" s="827"/>
      <c r="AH16" s="827"/>
      <c r="AI16" s="827"/>
      <c r="AJ16" s="827"/>
      <c r="AK16" s="827"/>
      <c r="AL16" s="827"/>
      <c r="AM16" s="827"/>
      <c r="AN16" s="827"/>
      <c r="AO16" s="827"/>
      <c r="AP16" s="827"/>
      <c r="AQ16" s="827"/>
      <c r="AR16" s="827"/>
      <c r="AS16" s="827"/>
      <c r="AT16" s="827"/>
      <c r="AU16" s="827"/>
      <c r="AV16" s="827"/>
      <c r="AW16" s="827"/>
      <c r="AX16" s="827"/>
      <c r="AY16" s="827"/>
      <c r="AZ16" s="827"/>
      <c r="BA16" s="827"/>
      <c r="BB16" s="827"/>
      <c r="BC16" s="827"/>
      <c r="BD16" s="827"/>
      <c r="BE16" s="827"/>
      <c r="BF16" s="827"/>
      <c r="BG16" s="827"/>
      <c r="BH16" s="827"/>
      <c r="BI16" s="827"/>
      <c r="BJ16" s="827"/>
      <c r="BK16" s="827"/>
      <c r="BL16" s="827"/>
      <c r="BM16" s="827"/>
      <c r="BN16" s="827"/>
      <c r="BO16" s="827"/>
      <c r="BP16" s="827"/>
      <c r="BQ16" s="827"/>
      <c r="BR16" s="827"/>
      <c r="BS16" s="828"/>
      <c r="BT16" s="395" t="s">
        <v>555</v>
      </c>
      <c r="BU16" s="395"/>
      <c r="BV16" s="395" t="s">
        <v>555</v>
      </c>
      <c r="BW16" s="395"/>
      <c r="BX16" s="395" t="s">
        <v>555</v>
      </c>
      <c r="BY16" s="395"/>
      <c r="BZ16" s="395" t="s">
        <v>555</v>
      </c>
      <c r="CA16" s="395"/>
      <c r="CB16" s="395" t="s">
        <v>1106</v>
      </c>
      <c r="CC16" s="395"/>
      <c r="CD16" s="395" t="s">
        <v>555</v>
      </c>
      <c r="CE16" s="395"/>
      <c r="CF16" s="395" t="s">
        <v>1107</v>
      </c>
      <c r="CG16" s="395"/>
      <c r="CH16" s="395" t="s">
        <v>1108</v>
      </c>
      <c r="CI16" s="395"/>
      <c r="CJ16" s="395" t="s">
        <v>1108</v>
      </c>
      <c r="CK16" s="395"/>
      <c r="CL16" s="829"/>
      <c r="CM16" s="827"/>
      <c r="CN16" s="827"/>
      <c r="CO16" s="827"/>
      <c r="CP16" s="827"/>
      <c r="CQ16" s="827"/>
      <c r="CR16" s="827"/>
      <c r="CS16" s="827"/>
      <c r="CT16" s="827"/>
      <c r="CU16" s="827"/>
      <c r="CV16" s="827"/>
      <c r="CW16" s="827"/>
      <c r="CX16" s="828"/>
      <c r="CY16" s="786" t="s">
        <v>555</v>
      </c>
      <c r="CZ16" s="786"/>
      <c r="DA16" s="786" t="s">
        <v>555</v>
      </c>
      <c r="DB16" s="786"/>
      <c r="DC16" s="786" t="s">
        <v>555</v>
      </c>
      <c r="DD16" s="786"/>
      <c r="DE16" s="395" t="s">
        <v>1106</v>
      </c>
      <c r="DF16" s="395"/>
      <c r="DG16" s="395" t="s">
        <v>1109</v>
      </c>
      <c r="DH16" s="395"/>
      <c r="DI16" s="395" t="s">
        <v>1109</v>
      </c>
      <c r="DJ16" s="395"/>
      <c r="DK16" s="829"/>
      <c r="DL16" s="827"/>
      <c r="DM16" s="827"/>
      <c r="DN16" s="827"/>
      <c r="DO16" s="827"/>
      <c r="DP16" s="827"/>
      <c r="DQ16" s="827"/>
      <c r="DR16" s="827"/>
      <c r="DS16" s="827"/>
      <c r="DT16" s="827"/>
      <c r="DU16" s="827"/>
      <c r="DV16" s="827"/>
      <c r="DW16" s="827"/>
      <c r="DX16" s="827"/>
      <c r="DY16" s="827"/>
      <c r="DZ16" s="827"/>
      <c r="EA16" s="827"/>
      <c r="EB16" s="827"/>
      <c r="EC16" s="827"/>
      <c r="ED16" s="827"/>
      <c r="EE16" s="827"/>
      <c r="EF16" s="827"/>
      <c r="EG16" s="827"/>
      <c r="EH16" s="827"/>
      <c r="EI16" s="827"/>
      <c r="EJ16" s="827"/>
      <c r="EK16" s="827"/>
      <c r="EL16" s="827"/>
      <c r="EM16" s="827"/>
      <c r="EN16" s="827"/>
      <c r="EO16" s="827"/>
      <c r="EP16" s="827"/>
      <c r="EQ16" s="827"/>
      <c r="ER16" s="827"/>
      <c r="ES16" s="827"/>
      <c r="ET16" s="827"/>
      <c r="EU16" s="827"/>
      <c r="EV16" s="827"/>
      <c r="EW16" s="827"/>
      <c r="EX16" s="827"/>
      <c r="EY16" s="827"/>
      <c r="EZ16" s="827"/>
      <c r="FA16" s="827"/>
      <c r="FB16" s="827"/>
      <c r="FC16" s="827"/>
      <c r="FD16" s="827"/>
      <c r="FE16" s="827"/>
      <c r="FF16" s="827"/>
      <c r="FG16" s="827"/>
      <c r="FH16" s="827"/>
      <c r="FI16" s="827"/>
      <c r="FJ16" s="827"/>
      <c r="FK16" s="827"/>
      <c r="FL16" s="827"/>
      <c r="FM16" s="827"/>
      <c r="FN16" s="827"/>
      <c r="FO16" s="827"/>
      <c r="FP16" s="827"/>
      <c r="FQ16" s="827"/>
      <c r="FR16" s="827"/>
      <c r="FS16" s="827"/>
      <c r="FT16" s="827"/>
      <c r="FU16" s="827"/>
      <c r="FV16" s="827"/>
      <c r="FW16" s="824"/>
      <c r="FX16" s="52"/>
      <c r="GC16" s="808" t="n">
        <v>12</v>
      </c>
    </row>
    <row r="17" customFormat="false" ht="15.75" hidden="false" customHeight="true" outlineLevel="0" collapsed="false">
      <c r="E17" s="825"/>
      <c r="F17" s="295"/>
      <c r="G17" s="295"/>
      <c r="H17" s="295"/>
      <c r="I17" s="295"/>
      <c r="J17" s="826"/>
      <c r="K17" s="826"/>
      <c r="L17" s="826"/>
      <c r="M17" s="826"/>
      <c r="N17" s="826"/>
      <c r="O17" s="395" t="s">
        <v>1110</v>
      </c>
      <c r="P17" s="395" t="s">
        <v>1111</v>
      </c>
      <c r="Q17" s="395" t="s">
        <v>1110</v>
      </c>
      <c r="R17" s="395" t="s">
        <v>1111</v>
      </c>
      <c r="S17" s="395" t="s">
        <v>1110</v>
      </c>
      <c r="T17" s="395" t="s">
        <v>1111</v>
      </c>
      <c r="U17" s="395" t="s">
        <v>1110</v>
      </c>
      <c r="V17" s="395" t="s">
        <v>1111</v>
      </c>
      <c r="W17" s="395" t="s">
        <v>1110</v>
      </c>
      <c r="X17" s="395" t="s">
        <v>1111</v>
      </c>
      <c r="Y17" s="395" t="s">
        <v>1110</v>
      </c>
      <c r="Z17" s="395" t="s">
        <v>1111</v>
      </c>
      <c r="AA17" s="395" t="s">
        <v>1110</v>
      </c>
      <c r="AB17" s="395" t="s">
        <v>1111</v>
      </c>
      <c r="AC17" s="827"/>
      <c r="AD17" s="827"/>
      <c r="AE17" s="827"/>
      <c r="AF17" s="827"/>
      <c r="AG17" s="827"/>
      <c r="AH17" s="827"/>
      <c r="AI17" s="827"/>
      <c r="AJ17" s="827"/>
      <c r="AK17" s="827"/>
      <c r="AL17" s="827"/>
      <c r="AM17" s="827"/>
      <c r="AN17" s="827"/>
      <c r="AO17" s="827"/>
      <c r="AP17" s="827"/>
      <c r="AQ17" s="827"/>
      <c r="AR17" s="827"/>
      <c r="AS17" s="827"/>
      <c r="AT17" s="827"/>
      <c r="AU17" s="827"/>
      <c r="AV17" s="827"/>
      <c r="AW17" s="827"/>
      <c r="AX17" s="827"/>
      <c r="AY17" s="827"/>
      <c r="AZ17" s="827"/>
      <c r="BA17" s="827"/>
      <c r="BB17" s="827"/>
      <c r="BC17" s="827"/>
      <c r="BD17" s="827"/>
      <c r="BE17" s="827"/>
      <c r="BF17" s="827"/>
      <c r="BG17" s="827"/>
      <c r="BH17" s="827"/>
      <c r="BI17" s="827"/>
      <c r="BJ17" s="827"/>
      <c r="BK17" s="827"/>
      <c r="BL17" s="827"/>
      <c r="BM17" s="827"/>
      <c r="BN17" s="827"/>
      <c r="BO17" s="827"/>
      <c r="BP17" s="827"/>
      <c r="BQ17" s="827"/>
      <c r="BR17" s="827"/>
      <c r="BS17" s="828"/>
      <c r="BT17" s="395" t="s">
        <v>1110</v>
      </c>
      <c r="BU17" s="395" t="s">
        <v>1111</v>
      </c>
      <c r="BV17" s="395" t="s">
        <v>1110</v>
      </c>
      <c r="BW17" s="395" t="s">
        <v>1111</v>
      </c>
      <c r="BX17" s="395" t="s">
        <v>1110</v>
      </c>
      <c r="BY17" s="395" t="s">
        <v>1111</v>
      </c>
      <c r="BZ17" s="395" t="s">
        <v>1110</v>
      </c>
      <c r="CA17" s="395" t="s">
        <v>1111</v>
      </c>
      <c r="CB17" s="395" t="s">
        <v>1110</v>
      </c>
      <c r="CC17" s="395" t="s">
        <v>1111</v>
      </c>
      <c r="CD17" s="395" t="s">
        <v>1110</v>
      </c>
      <c r="CE17" s="395" t="s">
        <v>1111</v>
      </c>
      <c r="CF17" s="395" t="s">
        <v>1110</v>
      </c>
      <c r="CG17" s="395" t="s">
        <v>1111</v>
      </c>
      <c r="CH17" s="395" t="s">
        <v>1110</v>
      </c>
      <c r="CI17" s="395" t="s">
        <v>1111</v>
      </c>
      <c r="CJ17" s="395" t="s">
        <v>1110</v>
      </c>
      <c r="CK17" s="395" t="s">
        <v>1111</v>
      </c>
      <c r="CL17" s="829"/>
      <c r="CM17" s="827"/>
      <c r="CN17" s="827"/>
      <c r="CO17" s="827"/>
      <c r="CP17" s="827"/>
      <c r="CQ17" s="827"/>
      <c r="CR17" s="827"/>
      <c r="CS17" s="827"/>
      <c r="CT17" s="827"/>
      <c r="CU17" s="827"/>
      <c r="CV17" s="827"/>
      <c r="CW17" s="827"/>
      <c r="CX17" s="828"/>
      <c r="CY17" s="395" t="s">
        <v>1110</v>
      </c>
      <c r="CZ17" s="395" t="s">
        <v>1111</v>
      </c>
      <c r="DA17" s="395" t="s">
        <v>1110</v>
      </c>
      <c r="DB17" s="395" t="s">
        <v>1111</v>
      </c>
      <c r="DC17" s="395" t="s">
        <v>1110</v>
      </c>
      <c r="DD17" s="395" t="s">
        <v>1111</v>
      </c>
      <c r="DE17" s="395" t="s">
        <v>1110</v>
      </c>
      <c r="DF17" s="395" t="s">
        <v>1111</v>
      </c>
      <c r="DG17" s="395" t="s">
        <v>1110</v>
      </c>
      <c r="DH17" s="395" t="s">
        <v>1111</v>
      </c>
      <c r="DI17" s="395" t="s">
        <v>1110</v>
      </c>
      <c r="DJ17" s="395" t="s">
        <v>1111</v>
      </c>
      <c r="DK17" s="829"/>
      <c r="DL17" s="827"/>
      <c r="DM17" s="827"/>
      <c r="DN17" s="827"/>
      <c r="DO17" s="827"/>
      <c r="DP17" s="827"/>
      <c r="DQ17" s="827"/>
      <c r="DR17" s="827"/>
      <c r="DS17" s="827"/>
      <c r="DT17" s="827"/>
      <c r="DU17" s="827"/>
      <c r="DV17" s="827"/>
      <c r="DW17" s="827"/>
      <c r="DX17" s="827"/>
      <c r="DY17" s="827"/>
      <c r="DZ17" s="827"/>
      <c r="EA17" s="827"/>
      <c r="EB17" s="827"/>
      <c r="EC17" s="827"/>
      <c r="ED17" s="827"/>
      <c r="EE17" s="827"/>
      <c r="EF17" s="827"/>
      <c r="EG17" s="827"/>
      <c r="EH17" s="827"/>
      <c r="EI17" s="827"/>
      <c r="EJ17" s="827"/>
      <c r="EK17" s="827"/>
      <c r="EL17" s="827"/>
      <c r="EM17" s="827"/>
      <c r="EN17" s="827"/>
      <c r="EO17" s="827"/>
      <c r="EP17" s="827"/>
      <c r="EQ17" s="827"/>
      <c r="ER17" s="827"/>
      <c r="ES17" s="827"/>
      <c r="ET17" s="827"/>
      <c r="EU17" s="827"/>
      <c r="EV17" s="827"/>
      <c r="EW17" s="827"/>
      <c r="EX17" s="827"/>
      <c r="EY17" s="827"/>
      <c r="EZ17" s="827"/>
      <c r="FA17" s="827"/>
      <c r="FB17" s="827"/>
      <c r="FC17" s="827"/>
      <c r="FD17" s="827"/>
      <c r="FE17" s="827"/>
      <c r="FF17" s="827"/>
      <c r="FG17" s="827"/>
      <c r="FH17" s="827"/>
      <c r="FI17" s="827"/>
      <c r="FJ17" s="827"/>
      <c r="FK17" s="827"/>
      <c r="FL17" s="827"/>
      <c r="FM17" s="827"/>
      <c r="FN17" s="827"/>
      <c r="FO17" s="827"/>
      <c r="FP17" s="827"/>
      <c r="FQ17" s="827"/>
      <c r="FR17" s="827"/>
      <c r="FS17" s="827"/>
      <c r="FT17" s="827"/>
      <c r="FU17" s="827"/>
      <c r="FV17" s="827"/>
      <c r="FW17" s="824"/>
      <c r="FX17" s="52"/>
      <c r="GC17" s="808" t="n">
        <v>15</v>
      </c>
    </row>
    <row r="18" s="810" customFormat="true" ht="12" hidden="true" customHeight="true" outlineLevel="0" collapsed="false">
      <c r="B18" s="811"/>
      <c r="E18" s="830"/>
      <c r="F18" s="831"/>
      <c r="G18" s="831"/>
      <c r="H18" s="831"/>
      <c r="I18" s="831"/>
      <c r="J18" s="832"/>
      <c r="K18" s="832"/>
      <c r="L18" s="832"/>
      <c r="M18" s="832"/>
      <c r="N18" s="832"/>
      <c r="O18" s="831"/>
      <c r="P18" s="831"/>
      <c r="Q18" s="831"/>
      <c r="R18" s="831"/>
      <c r="S18" s="831"/>
      <c r="T18" s="831"/>
      <c r="U18" s="833"/>
      <c r="V18" s="833"/>
      <c r="W18" s="833"/>
      <c r="X18" s="833"/>
      <c r="Y18" s="833"/>
      <c r="Z18" s="833"/>
      <c r="AA18" s="833"/>
      <c r="AB18" s="831"/>
      <c r="AC18" s="832"/>
      <c r="AD18" s="832"/>
      <c r="AE18" s="832"/>
      <c r="AF18" s="832"/>
      <c r="AG18" s="832"/>
      <c r="AH18" s="832"/>
      <c r="AI18" s="832"/>
      <c r="AJ18" s="832"/>
      <c r="AK18" s="832"/>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832"/>
      <c r="BH18" s="832"/>
      <c r="BI18" s="832"/>
      <c r="BJ18" s="832"/>
      <c r="BK18" s="832"/>
      <c r="BL18" s="832"/>
      <c r="BM18" s="832"/>
      <c r="BN18" s="832"/>
      <c r="BO18" s="832"/>
      <c r="BP18" s="832"/>
      <c r="BQ18" s="832"/>
      <c r="BR18" s="832"/>
      <c r="BS18" s="832"/>
      <c r="BT18" s="834"/>
      <c r="BU18" s="834"/>
      <c r="BV18" s="834"/>
      <c r="BW18" s="834"/>
      <c r="BX18" s="834"/>
      <c r="BY18" s="834"/>
      <c r="BZ18" s="834"/>
      <c r="CA18" s="834"/>
      <c r="CB18" s="834"/>
      <c r="CC18" s="834"/>
      <c r="CD18" s="834"/>
      <c r="CE18" s="834"/>
      <c r="CF18" s="834"/>
      <c r="CG18" s="834"/>
      <c r="CH18" s="834"/>
      <c r="CI18" s="834"/>
      <c r="CJ18" s="834"/>
      <c r="CK18" s="834"/>
      <c r="CL18" s="832"/>
      <c r="CM18" s="832"/>
      <c r="CN18" s="832"/>
      <c r="CO18" s="832"/>
      <c r="CP18" s="832"/>
      <c r="CQ18" s="832"/>
      <c r="CR18" s="832"/>
      <c r="CS18" s="832"/>
      <c r="CT18" s="832"/>
      <c r="CU18" s="832"/>
      <c r="CV18" s="832"/>
      <c r="CW18" s="832"/>
      <c r="CX18" s="832"/>
      <c r="CY18" s="834"/>
      <c r="CZ18" s="834"/>
      <c r="DA18" s="834"/>
      <c r="DB18" s="834"/>
      <c r="DC18" s="834"/>
      <c r="DD18" s="834"/>
      <c r="DE18" s="834"/>
      <c r="DF18" s="834"/>
      <c r="DG18" s="834"/>
      <c r="DH18" s="834"/>
      <c r="DI18" s="834"/>
      <c r="DJ18" s="834"/>
      <c r="DK18" s="832"/>
      <c r="DL18" s="832"/>
      <c r="DM18" s="832"/>
      <c r="DN18" s="832"/>
      <c r="DO18" s="832"/>
      <c r="DP18" s="832"/>
      <c r="DQ18" s="832"/>
      <c r="DR18" s="832"/>
      <c r="DS18" s="832"/>
      <c r="DT18" s="832"/>
      <c r="DU18" s="832"/>
      <c r="DV18" s="832"/>
      <c r="DW18" s="832"/>
      <c r="DX18" s="832"/>
      <c r="DY18" s="832"/>
      <c r="DZ18" s="832"/>
      <c r="EA18" s="832"/>
      <c r="EB18" s="832"/>
      <c r="EC18" s="832"/>
      <c r="ED18" s="832"/>
      <c r="EE18" s="832"/>
      <c r="EF18" s="832"/>
      <c r="EG18" s="832"/>
      <c r="EH18" s="832"/>
      <c r="EI18" s="832"/>
      <c r="EJ18" s="832"/>
      <c r="EK18" s="832"/>
      <c r="EL18" s="832"/>
      <c r="EM18" s="832"/>
      <c r="EN18" s="832"/>
      <c r="EO18" s="832"/>
      <c r="EP18" s="832"/>
      <c r="EQ18" s="832"/>
      <c r="ER18" s="832"/>
      <c r="ES18" s="832"/>
      <c r="ET18" s="832"/>
      <c r="EU18" s="832"/>
      <c r="EV18" s="832"/>
      <c r="EW18" s="832"/>
      <c r="EX18" s="832"/>
      <c r="EY18" s="832"/>
      <c r="EZ18" s="832"/>
      <c r="FA18" s="832"/>
      <c r="FB18" s="832"/>
      <c r="FC18" s="832"/>
      <c r="FD18" s="832"/>
      <c r="FE18" s="832"/>
      <c r="FF18" s="832"/>
      <c r="FG18" s="832"/>
      <c r="FH18" s="832"/>
      <c r="FI18" s="832"/>
      <c r="FJ18" s="832"/>
      <c r="FK18" s="832"/>
      <c r="FL18" s="832"/>
      <c r="FM18" s="832"/>
      <c r="FN18" s="832"/>
      <c r="FO18" s="832"/>
      <c r="FP18" s="832"/>
      <c r="FQ18" s="832"/>
      <c r="FR18" s="832"/>
      <c r="FS18" s="832"/>
      <c r="FT18" s="832"/>
      <c r="FU18" s="832"/>
      <c r="FV18" s="832"/>
      <c r="FW18" s="831"/>
      <c r="FX18" s="835"/>
      <c r="GC18" s="810" t="n">
        <v>0</v>
      </c>
    </row>
    <row r="19" s="810" customFormat="true" ht="11.25" hidden="true" customHeight="true" outlineLevel="0" collapsed="false">
      <c r="B19" s="811"/>
      <c r="E19" s="830"/>
      <c r="F19" s="831"/>
      <c r="G19" s="831"/>
      <c r="H19" s="831"/>
      <c r="I19" s="831"/>
      <c r="J19" s="831"/>
      <c r="K19" s="831"/>
      <c r="L19" s="831"/>
      <c r="M19" s="831"/>
      <c r="N19" s="831"/>
      <c r="O19" s="831"/>
      <c r="P19" s="831"/>
      <c r="Q19" s="831"/>
      <c r="R19" s="831"/>
      <c r="S19" s="831"/>
      <c r="T19" s="831"/>
      <c r="U19" s="833"/>
      <c r="V19" s="833"/>
      <c r="W19" s="833"/>
      <c r="X19" s="833"/>
      <c r="Y19" s="833"/>
      <c r="Z19" s="833"/>
      <c r="AA19" s="833"/>
      <c r="AB19" s="831"/>
      <c r="AC19" s="831"/>
      <c r="AD19" s="831"/>
      <c r="AE19" s="831"/>
      <c r="AF19" s="831"/>
      <c r="AG19" s="831"/>
      <c r="AH19" s="831"/>
      <c r="AI19" s="831"/>
      <c r="AJ19" s="831"/>
      <c r="AK19" s="831"/>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831"/>
      <c r="BH19" s="831"/>
      <c r="BI19" s="831"/>
      <c r="BJ19" s="831"/>
      <c r="BK19" s="831"/>
      <c r="BL19" s="831"/>
      <c r="BM19" s="831"/>
      <c r="BN19" s="831"/>
      <c r="BO19" s="831"/>
      <c r="BP19" s="831"/>
      <c r="BQ19" s="831"/>
      <c r="BR19" s="831"/>
      <c r="BS19" s="831"/>
      <c r="BT19" s="831"/>
      <c r="BU19" s="831"/>
      <c r="BV19" s="831"/>
      <c r="BW19" s="831"/>
      <c r="BX19" s="831"/>
      <c r="BY19" s="831"/>
      <c r="BZ19" s="831"/>
      <c r="CA19" s="831"/>
      <c r="CB19" s="831"/>
      <c r="CC19" s="831"/>
      <c r="CD19" s="831"/>
      <c r="CE19" s="831"/>
      <c r="CF19" s="831"/>
      <c r="CG19" s="831"/>
      <c r="CH19" s="831"/>
      <c r="CI19" s="831"/>
      <c r="CJ19" s="831"/>
      <c r="CK19" s="831"/>
      <c r="CL19" s="831"/>
      <c r="CM19" s="831"/>
      <c r="CN19" s="831"/>
      <c r="CO19" s="831"/>
      <c r="CP19" s="831"/>
      <c r="CQ19" s="831"/>
      <c r="CR19" s="831"/>
      <c r="CS19" s="831"/>
      <c r="CT19" s="831"/>
      <c r="CU19" s="831"/>
      <c r="CV19" s="831"/>
      <c r="CW19" s="831"/>
      <c r="CX19" s="831"/>
      <c r="CY19" s="831"/>
      <c r="CZ19" s="831"/>
      <c r="DA19" s="831"/>
      <c r="DB19" s="831"/>
      <c r="DC19" s="831"/>
      <c r="DD19" s="831"/>
      <c r="DE19" s="831"/>
      <c r="DF19" s="831"/>
      <c r="DG19" s="831"/>
      <c r="DH19" s="831"/>
      <c r="DI19" s="831"/>
      <c r="DJ19" s="831"/>
      <c r="DK19" s="831"/>
      <c r="DL19" s="831"/>
      <c r="DM19" s="831"/>
      <c r="DN19" s="831"/>
      <c r="DO19" s="831"/>
      <c r="DP19" s="831"/>
      <c r="DQ19" s="831"/>
      <c r="DR19" s="831"/>
      <c r="DS19" s="831"/>
      <c r="DT19" s="831"/>
      <c r="DU19" s="831"/>
      <c r="DV19" s="831"/>
      <c r="DW19" s="831"/>
      <c r="DX19" s="831"/>
      <c r="DY19" s="831"/>
      <c r="DZ19" s="831"/>
      <c r="EA19" s="831"/>
      <c r="EB19" s="831"/>
      <c r="EC19" s="831"/>
      <c r="ED19" s="831"/>
      <c r="EE19" s="831"/>
      <c r="EF19" s="831"/>
      <c r="EG19" s="831"/>
      <c r="EH19" s="831"/>
      <c r="EI19" s="831"/>
      <c r="EJ19" s="831"/>
      <c r="EK19" s="831"/>
      <c r="EL19" s="831"/>
      <c r="EM19" s="831"/>
      <c r="EN19" s="831"/>
      <c r="EO19" s="831"/>
      <c r="EP19" s="831"/>
      <c r="EQ19" s="831"/>
      <c r="ER19" s="831"/>
      <c r="ES19" s="831"/>
      <c r="ET19" s="831"/>
      <c r="EU19" s="831"/>
      <c r="EV19" s="831"/>
      <c r="EW19" s="831"/>
      <c r="EX19" s="831"/>
      <c r="EY19" s="831"/>
      <c r="EZ19" s="831"/>
      <c r="FA19" s="831"/>
      <c r="FB19" s="831"/>
      <c r="FC19" s="831"/>
      <c r="FD19" s="831"/>
      <c r="FE19" s="831"/>
      <c r="FF19" s="831"/>
      <c r="FG19" s="831"/>
      <c r="FH19" s="831"/>
      <c r="FI19" s="831"/>
      <c r="FJ19" s="831"/>
      <c r="FK19" s="831"/>
      <c r="FL19" s="831"/>
      <c r="FM19" s="831"/>
      <c r="FN19" s="831"/>
      <c r="FO19" s="831"/>
      <c r="FP19" s="831"/>
      <c r="FQ19" s="831"/>
      <c r="FR19" s="831"/>
      <c r="FS19" s="831"/>
      <c r="FT19" s="831"/>
      <c r="FU19" s="831"/>
      <c r="FV19" s="831"/>
      <c r="FW19" s="831"/>
      <c r="FX19" s="835"/>
      <c r="GC19" s="810" t="n">
        <v>0</v>
      </c>
    </row>
    <row r="20" s="810" customFormat="true" ht="11.25" hidden="true" customHeight="true" outlineLevel="0" collapsed="false">
      <c r="B20" s="811"/>
      <c r="E20" s="830"/>
      <c r="F20" s="836" t="s">
        <v>373</v>
      </c>
      <c r="G20" s="265"/>
      <c r="H20" s="837"/>
      <c r="I20" s="837"/>
      <c r="J20" s="837"/>
      <c r="K20" s="837"/>
      <c r="L20" s="837"/>
      <c r="M20" s="837"/>
      <c r="N20" s="837"/>
      <c r="O20" s="265"/>
      <c r="P20" s="265"/>
      <c r="Q20" s="265"/>
      <c r="R20" s="265"/>
      <c r="S20" s="265"/>
      <c r="T20" s="265"/>
      <c r="U20" s="838"/>
      <c r="V20" s="838"/>
      <c r="W20" s="838"/>
      <c r="X20" s="838"/>
      <c r="Y20" s="838"/>
      <c r="Z20" s="838"/>
      <c r="AA20" s="838"/>
      <c r="AB20" s="265"/>
      <c r="AC20" s="837"/>
      <c r="AD20" s="837"/>
      <c r="AE20" s="837"/>
      <c r="AF20" s="837"/>
      <c r="AG20" s="837"/>
      <c r="AH20" s="837"/>
      <c r="AI20" s="837"/>
      <c r="AJ20" s="837"/>
      <c r="AK20" s="837"/>
      <c r="AL20" s="837"/>
      <c r="AM20" s="837"/>
      <c r="AN20" s="837"/>
      <c r="AO20" s="837"/>
      <c r="AP20" s="837"/>
      <c r="AQ20" s="837"/>
      <c r="AR20" s="837"/>
      <c r="AS20" s="837"/>
      <c r="AT20" s="837"/>
      <c r="AU20" s="837"/>
      <c r="AV20" s="837"/>
      <c r="AW20" s="837"/>
      <c r="AX20" s="837"/>
      <c r="AY20" s="837"/>
      <c r="AZ20" s="837"/>
      <c r="BA20" s="837"/>
      <c r="BB20" s="837"/>
      <c r="BC20" s="837"/>
      <c r="BD20" s="837"/>
      <c r="BE20" s="837"/>
      <c r="BF20" s="837"/>
      <c r="BG20" s="837"/>
      <c r="BH20" s="837"/>
      <c r="BI20" s="837"/>
      <c r="BJ20" s="837"/>
      <c r="BK20" s="837"/>
      <c r="BL20" s="837"/>
      <c r="BM20" s="837"/>
      <c r="BN20" s="837"/>
      <c r="BO20" s="837"/>
      <c r="BP20" s="837"/>
      <c r="BQ20" s="837"/>
      <c r="BR20" s="837"/>
      <c r="BS20" s="837"/>
      <c r="BT20" s="837"/>
      <c r="BU20" s="837"/>
      <c r="BV20" s="837"/>
      <c r="BW20" s="837"/>
      <c r="BX20" s="837"/>
      <c r="BY20" s="837"/>
      <c r="BZ20" s="837"/>
      <c r="CA20" s="837"/>
      <c r="CB20" s="837"/>
      <c r="CC20" s="837"/>
      <c r="CD20" s="837"/>
      <c r="CE20" s="837"/>
      <c r="CF20" s="837"/>
      <c r="CG20" s="837"/>
      <c r="CH20" s="837"/>
      <c r="CI20" s="837"/>
      <c r="CJ20" s="837"/>
      <c r="CK20" s="837"/>
      <c r="CL20" s="839"/>
      <c r="CM20" s="839"/>
      <c r="CN20" s="839"/>
      <c r="CO20" s="839"/>
      <c r="CP20" s="839"/>
      <c r="CQ20" s="839"/>
      <c r="CR20" s="839"/>
      <c r="CS20" s="839"/>
      <c r="CT20" s="839"/>
      <c r="CU20" s="839"/>
      <c r="CV20" s="839"/>
      <c r="CW20" s="839"/>
      <c r="CX20" s="839"/>
      <c r="CY20" s="839"/>
      <c r="CZ20" s="839"/>
      <c r="DA20" s="839"/>
      <c r="DB20" s="839"/>
      <c r="DC20" s="839"/>
      <c r="DD20" s="839"/>
      <c r="DE20" s="839"/>
      <c r="DF20" s="839"/>
      <c r="DG20" s="839"/>
      <c r="DH20" s="839"/>
      <c r="DI20" s="839"/>
      <c r="DJ20" s="839"/>
      <c r="DK20" s="839"/>
      <c r="DL20" s="839"/>
      <c r="DM20" s="839"/>
      <c r="DN20" s="839"/>
      <c r="DO20" s="839"/>
      <c r="DP20" s="839"/>
      <c r="DQ20" s="839"/>
      <c r="DR20" s="839"/>
      <c r="DS20" s="839"/>
      <c r="DT20" s="839"/>
      <c r="DU20" s="839"/>
      <c r="DV20" s="839"/>
      <c r="DW20" s="839"/>
      <c r="DX20" s="839"/>
      <c r="DY20" s="839"/>
      <c r="DZ20" s="839"/>
      <c r="EA20" s="839"/>
      <c r="EB20" s="839"/>
      <c r="EC20" s="839"/>
      <c r="ED20" s="839"/>
      <c r="EE20" s="839"/>
      <c r="EF20" s="839"/>
      <c r="EG20" s="839"/>
      <c r="EH20" s="839"/>
      <c r="EI20" s="839"/>
      <c r="EJ20" s="839"/>
      <c r="EK20" s="839"/>
      <c r="EL20" s="839"/>
      <c r="EM20" s="839"/>
      <c r="EN20" s="839"/>
      <c r="EO20" s="839"/>
      <c r="EP20" s="839"/>
      <c r="EQ20" s="839"/>
      <c r="ER20" s="839"/>
      <c r="ES20" s="839"/>
      <c r="ET20" s="839"/>
      <c r="EU20" s="839"/>
      <c r="EV20" s="839"/>
      <c r="EW20" s="839"/>
      <c r="EX20" s="839"/>
      <c r="EY20" s="839"/>
      <c r="EZ20" s="839"/>
      <c r="FA20" s="839"/>
      <c r="FB20" s="839"/>
      <c r="FC20" s="839"/>
      <c r="FD20" s="839"/>
      <c r="FE20" s="839"/>
      <c r="FF20" s="839"/>
      <c r="FG20" s="839"/>
      <c r="FH20" s="839"/>
      <c r="FI20" s="839"/>
      <c r="FJ20" s="839"/>
      <c r="FK20" s="839"/>
      <c r="FL20" s="839"/>
      <c r="FM20" s="839"/>
      <c r="FN20" s="839"/>
      <c r="FO20" s="839"/>
      <c r="FP20" s="839"/>
      <c r="FQ20" s="839"/>
      <c r="FR20" s="839"/>
      <c r="FS20" s="839"/>
      <c r="FT20" s="839"/>
      <c r="FU20" s="839"/>
      <c r="FV20" s="839"/>
      <c r="FW20" s="839"/>
      <c r="FX20" s="835"/>
      <c r="GC20" s="810" t="n">
        <v>0</v>
      </c>
    </row>
    <row r="21" s="810" customFormat="true" ht="12.75" hidden="false" customHeight="true" outlineLevel="0" collapsed="false">
      <c r="A21" s="812"/>
      <c r="B21" s="812"/>
      <c r="C21" s="812"/>
      <c r="D21" s="812"/>
      <c r="E21" s="812"/>
      <c r="F21" s="830"/>
      <c r="G21" s="830"/>
      <c r="H21" s="830"/>
      <c r="I21" s="830"/>
      <c r="J21" s="830"/>
      <c r="K21" s="830"/>
      <c r="L21" s="830"/>
      <c r="M21" s="830"/>
      <c r="N21" s="830"/>
      <c r="O21" s="830"/>
      <c r="P21" s="830"/>
      <c r="Q21" s="830"/>
      <c r="R21" s="830"/>
      <c r="S21" s="840"/>
      <c r="T21" s="840"/>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0"/>
      <c r="AY21" s="830"/>
      <c r="AZ21" s="830"/>
      <c r="BA21" s="830"/>
      <c r="BB21" s="830"/>
      <c r="BC21" s="830"/>
      <c r="BD21" s="830"/>
      <c r="BE21" s="830"/>
      <c r="BF21" s="830"/>
      <c r="BG21" s="830"/>
      <c r="BH21" s="830"/>
      <c r="BI21" s="830"/>
      <c r="BJ21" s="830"/>
      <c r="BK21" s="830"/>
      <c r="BL21" s="830"/>
      <c r="BM21" s="830"/>
      <c r="BN21" s="830"/>
      <c r="BO21" s="830"/>
      <c r="BP21" s="830"/>
      <c r="BQ21" s="830"/>
      <c r="BR21" s="830"/>
      <c r="BS21" s="830"/>
      <c r="BT21" s="830"/>
      <c r="BU21" s="830"/>
      <c r="BV21" s="830"/>
      <c r="BW21" s="830"/>
      <c r="BX21" s="830"/>
      <c r="BY21" s="830"/>
      <c r="BZ21" s="830"/>
      <c r="CA21" s="830"/>
      <c r="CB21" s="830"/>
      <c r="CC21" s="830"/>
      <c r="CD21" s="830"/>
      <c r="CE21" s="830"/>
      <c r="CF21" s="830"/>
      <c r="CG21" s="830"/>
      <c r="CH21" s="830"/>
      <c r="CI21" s="830"/>
      <c r="CJ21" s="830"/>
      <c r="CK21" s="830"/>
      <c r="CL21" s="830"/>
      <c r="CM21" s="830"/>
      <c r="CN21" s="830"/>
      <c r="CO21" s="830"/>
      <c r="CP21" s="830"/>
      <c r="CQ21" s="830"/>
      <c r="CR21" s="830"/>
      <c r="CS21" s="830"/>
      <c r="CT21" s="830"/>
      <c r="CU21" s="830"/>
      <c r="CV21" s="830"/>
      <c r="CW21" s="830"/>
      <c r="CX21" s="830"/>
      <c r="CY21" s="830"/>
      <c r="CZ21" s="830"/>
      <c r="DA21" s="830"/>
      <c r="DB21" s="830"/>
      <c r="DC21" s="830"/>
      <c r="DD21" s="830"/>
      <c r="DE21" s="830"/>
      <c r="DF21" s="830"/>
      <c r="DG21" s="830"/>
      <c r="DH21" s="830"/>
      <c r="DI21" s="830"/>
      <c r="DJ21" s="830"/>
      <c r="DK21" s="830"/>
      <c r="DL21" s="830"/>
      <c r="DM21" s="830"/>
      <c r="DN21" s="830"/>
      <c r="DO21" s="830"/>
      <c r="DP21" s="830"/>
      <c r="DQ21" s="830"/>
      <c r="DR21" s="830"/>
      <c r="DS21" s="830"/>
      <c r="DT21" s="830"/>
      <c r="DU21" s="830"/>
      <c r="DV21" s="830"/>
      <c r="DW21" s="830"/>
      <c r="DX21" s="830"/>
      <c r="DY21" s="830"/>
      <c r="DZ21" s="830"/>
      <c r="EA21" s="830"/>
      <c r="EB21" s="830"/>
      <c r="EC21" s="830"/>
      <c r="ED21" s="830"/>
      <c r="EE21" s="830"/>
      <c r="EF21" s="830"/>
      <c r="EG21" s="830"/>
      <c r="EH21" s="830"/>
      <c r="EI21" s="830"/>
      <c r="EJ21" s="830"/>
      <c r="EK21" s="830"/>
      <c r="EL21" s="830"/>
      <c r="EM21" s="830"/>
      <c r="EN21" s="830"/>
      <c r="EO21" s="830"/>
      <c r="EP21" s="830"/>
      <c r="EQ21" s="830"/>
      <c r="ER21" s="830"/>
      <c r="ES21" s="830"/>
      <c r="ET21" s="830"/>
      <c r="EU21" s="830"/>
      <c r="EV21" s="830"/>
      <c r="EW21" s="830"/>
      <c r="EX21" s="830"/>
      <c r="EY21" s="830"/>
      <c r="EZ21" s="830"/>
      <c r="FA21" s="830"/>
      <c r="FB21" s="830"/>
      <c r="FC21" s="830"/>
      <c r="FD21" s="830"/>
      <c r="FE21" s="830"/>
      <c r="FF21" s="830"/>
      <c r="FG21" s="830"/>
      <c r="FH21" s="830"/>
      <c r="FI21" s="830"/>
      <c r="FJ21" s="830"/>
      <c r="FK21" s="830"/>
      <c r="FL21" s="830"/>
      <c r="FM21" s="830"/>
      <c r="FN21" s="830"/>
      <c r="FO21" s="830"/>
      <c r="FP21" s="830"/>
      <c r="FQ21" s="830"/>
      <c r="FR21" s="830"/>
      <c r="FS21" s="830"/>
      <c r="FT21" s="830"/>
      <c r="FU21" s="830"/>
      <c r="FV21" s="830"/>
      <c r="FW21" s="830"/>
      <c r="FX21" s="812"/>
      <c r="FY21" s="812"/>
      <c r="FZ21" s="812"/>
      <c r="GA21" s="812"/>
      <c r="GB21" s="812"/>
      <c r="GC21" s="810" t="n">
        <v>12</v>
      </c>
    </row>
    <row r="22" s="810" customFormat="true" ht="12.75" hidden="false" customHeight="true" outlineLevel="0" collapsed="false">
      <c r="A22" s="812"/>
      <c r="B22" s="812"/>
      <c r="C22" s="812"/>
      <c r="D22" s="812"/>
      <c r="E22" s="812"/>
      <c r="FX22" s="812"/>
      <c r="FY22" s="812"/>
      <c r="FZ22" s="812"/>
      <c r="GA22" s="812"/>
      <c r="GB22" s="812"/>
      <c r="GC22" s="810" t="n">
        <v>12</v>
      </c>
    </row>
    <row r="23" s="808" customFormat="true" ht="12.75" hidden="false" customHeight="true" outlineLevel="0" collapsed="false">
      <c r="A23" s="812"/>
      <c r="B23" s="812"/>
      <c r="C23" s="812"/>
      <c r="D23" s="812"/>
      <c r="E23" s="812"/>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c r="BM23" s="173"/>
      <c r="BN23" s="173"/>
      <c r="BO23" s="173"/>
      <c r="BP23" s="173"/>
      <c r="BQ23" s="173"/>
      <c r="BR23" s="173"/>
      <c r="BS23" s="173"/>
      <c r="BT23" s="841"/>
      <c r="BU23" s="841"/>
      <c r="BV23" s="841"/>
      <c r="BW23" s="841"/>
      <c r="BX23" s="841"/>
      <c r="BY23" s="841"/>
      <c r="BZ23" s="841"/>
      <c r="CA23" s="841"/>
      <c r="CB23" s="841"/>
      <c r="CC23" s="841"/>
      <c r="CD23" s="841"/>
      <c r="CE23" s="841"/>
      <c r="CF23" s="841"/>
      <c r="CG23" s="841"/>
      <c r="CH23" s="841"/>
      <c r="CI23" s="841"/>
      <c r="CJ23" s="841"/>
      <c r="CK23" s="841"/>
      <c r="CL23" s="841"/>
      <c r="CM23" s="841"/>
      <c r="CN23" s="841"/>
      <c r="CO23" s="841"/>
      <c r="CP23" s="841"/>
      <c r="CQ23" s="841"/>
      <c r="CR23" s="841"/>
      <c r="CS23" s="841"/>
      <c r="CT23" s="841"/>
      <c r="CU23" s="841"/>
      <c r="CV23" s="841"/>
      <c r="CW23" s="841"/>
      <c r="CX23" s="841"/>
      <c r="CY23" s="841"/>
      <c r="CZ23" s="841"/>
      <c r="DA23" s="841"/>
      <c r="DB23" s="841"/>
      <c r="DC23" s="841"/>
      <c r="DD23" s="841"/>
      <c r="DE23" s="841"/>
      <c r="DF23" s="841"/>
      <c r="DG23" s="841"/>
      <c r="DH23" s="841"/>
      <c r="DI23" s="841"/>
      <c r="DJ23" s="841"/>
      <c r="DK23" s="841"/>
      <c r="DL23" s="841"/>
      <c r="DM23" s="841"/>
      <c r="DN23" s="841"/>
      <c r="DO23" s="841"/>
      <c r="DP23" s="841"/>
      <c r="DQ23" s="841"/>
      <c r="DR23" s="841"/>
      <c r="DS23" s="841"/>
      <c r="DT23" s="841"/>
      <c r="DU23" s="841"/>
      <c r="DV23" s="841"/>
      <c r="DW23" s="841"/>
      <c r="DX23" s="841"/>
      <c r="FX23" s="812"/>
      <c r="FY23" s="812"/>
      <c r="FZ23" s="812"/>
      <c r="GA23" s="812"/>
      <c r="GB23" s="812"/>
      <c r="GC23" s="808" t="n">
        <v>12</v>
      </c>
    </row>
    <row r="24" customFormat="false" ht="12.75" hidden="false" customHeight="true" outlineLevel="0" collapsed="false">
      <c r="S24" s="812"/>
      <c r="T24" s="812"/>
      <c r="U24" s="812"/>
      <c r="V24" s="812"/>
      <c r="W24" s="812"/>
      <c r="X24" s="812"/>
      <c r="Y24" s="812"/>
      <c r="Z24" s="812"/>
      <c r="AA24" s="812"/>
      <c r="AB24" s="812"/>
      <c r="FX24" s="812"/>
      <c r="FY24" s="812"/>
      <c r="FZ24" s="812"/>
      <c r="GA24" s="812"/>
      <c r="GB24" s="812"/>
      <c r="GC24" s="808" t="n">
        <v>12</v>
      </c>
    </row>
    <row r="25" customFormat="false" ht="12" hidden="true" customHeight="true" outlineLevel="0" collapsed="false">
      <c r="A25" s="808" t="s">
        <v>80</v>
      </c>
      <c r="B25" s="809" t="n">
        <v>0</v>
      </c>
      <c r="C25" s="808" t="n">
        <v>0</v>
      </c>
      <c r="D25" s="808" t="n">
        <v>0</v>
      </c>
      <c r="E25" s="808" t="n">
        <v>3</v>
      </c>
      <c r="F25" s="808" t="n">
        <v>6</v>
      </c>
      <c r="G25" s="808" t="n">
        <v>18</v>
      </c>
      <c r="H25" s="808" t="n">
        <v>27</v>
      </c>
      <c r="I25" s="808" t="n">
        <v>18</v>
      </c>
      <c r="J25" s="808" t="n">
        <v>0</v>
      </c>
      <c r="K25" s="808" t="n">
        <v>0</v>
      </c>
      <c r="L25" s="808" t="n">
        <v>0</v>
      </c>
      <c r="M25" s="808" t="n">
        <v>0</v>
      </c>
      <c r="N25" s="808" t="n">
        <v>0</v>
      </c>
      <c r="O25" s="808" t="n">
        <v>0</v>
      </c>
      <c r="P25" s="808" t="n">
        <v>0</v>
      </c>
      <c r="Q25" s="808" t="n">
        <v>0</v>
      </c>
      <c r="R25" s="808" t="n">
        <v>0</v>
      </c>
      <c r="S25" s="808" t="n">
        <v>0</v>
      </c>
      <c r="T25" s="808" t="n">
        <v>0</v>
      </c>
      <c r="U25" s="808" t="n">
        <v>0</v>
      </c>
      <c r="V25" s="808" t="n">
        <v>0</v>
      </c>
      <c r="W25" s="808" t="n">
        <v>0</v>
      </c>
      <c r="X25" s="808" t="n">
        <v>0</v>
      </c>
      <c r="Y25" s="808" t="n">
        <v>0</v>
      </c>
      <c r="Z25" s="808" t="n">
        <v>0</v>
      </c>
      <c r="AA25" s="808" t="n">
        <v>0</v>
      </c>
      <c r="AB25" s="808" t="n">
        <v>0</v>
      </c>
      <c r="AC25" s="808" t="n">
        <v>0</v>
      </c>
      <c r="AD25" s="808" t="n">
        <v>0</v>
      </c>
      <c r="AE25" s="808" t="n">
        <v>0</v>
      </c>
      <c r="AF25" s="808" t="n">
        <v>0</v>
      </c>
      <c r="AG25" s="808" t="n">
        <v>0</v>
      </c>
      <c r="AH25" s="808" t="n">
        <v>0</v>
      </c>
      <c r="AI25" s="808" t="n">
        <v>0</v>
      </c>
      <c r="AJ25" s="808" t="n">
        <v>0</v>
      </c>
      <c r="AK25" s="808" t="n">
        <v>0</v>
      </c>
      <c r="AL25" s="808" t="n">
        <v>0</v>
      </c>
      <c r="AM25" s="808" t="n">
        <v>0</v>
      </c>
      <c r="AN25" s="808" t="n">
        <v>0</v>
      </c>
      <c r="AO25" s="808" t="n">
        <v>0</v>
      </c>
      <c r="AP25" s="808" t="n">
        <v>0</v>
      </c>
      <c r="AQ25" s="808" t="n">
        <v>0</v>
      </c>
      <c r="AR25" s="808" t="n">
        <v>0</v>
      </c>
      <c r="AS25" s="808" t="n">
        <v>0</v>
      </c>
      <c r="AT25" s="808" t="n">
        <v>0</v>
      </c>
      <c r="AU25" s="808" t="n">
        <v>0</v>
      </c>
      <c r="AV25" s="808" t="n">
        <v>0</v>
      </c>
      <c r="AW25" s="808" t="n">
        <v>0</v>
      </c>
      <c r="AX25" s="808" t="n">
        <v>0</v>
      </c>
      <c r="AY25" s="808" t="n">
        <v>0</v>
      </c>
      <c r="AZ25" s="808" t="n">
        <v>0</v>
      </c>
      <c r="BA25" s="808" t="n">
        <v>0</v>
      </c>
      <c r="BB25" s="808" t="n">
        <v>0</v>
      </c>
      <c r="BC25" s="808" t="n">
        <v>0</v>
      </c>
      <c r="BD25" s="808" t="n">
        <v>0</v>
      </c>
      <c r="BE25" s="808" t="n">
        <v>0</v>
      </c>
      <c r="BF25" s="808" t="n">
        <v>0</v>
      </c>
      <c r="BG25" s="808" t="n">
        <v>0</v>
      </c>
      <c r="BH25" s="808" t="n">
        <v>0</v>
      </c>
      <c r="BI25" s="808" t="n">
        <v>0</v>
      </c>
      <c r="BJ25" s="808" t="n">
        <v>0</v>
      </c>
      <c r="BK25" s="808" t="n">
        <v>0</v>
      </c>
      <c r="BL25" s="808" t="n">
        <v>0</v>
      </c>
      <c r="BM25" s="808" t="n">
        <v>0</v>
      </c>
      <c r="BN25" s="808" t="n">
        <v>0</v>
      </c>
      <c r="BO25" s="808" t="n">
        <v>0</v>
      </c>
      <c r="BP25" s="808" t="n">
        <v>0</v>
      </c>
      <c r="BQ25" s="808" t="n">
        <v>0</v>
      </c>
      <c r="BR25" s="808" t="n">
        <v>0</v>
      </c>
      <c r="BS25" s="808" t="n">
        <v>0</v>
      </c>
      <c r="BT25" s="808" t="n">
        <v>0</v>
      </c>
      <c r="BU25" s="808" t="n">
        <v>0</v>
      </c>
      <c r="BV25" s="808" t="n">
        <v>0</v>
      </c>
      <c r="BW25" s="808" t="n">
        <v>0</v>
      </c>
      <c r="BX25" s="808" t="n">
        <v>0</v>
      </c>
      <c r="BY25" s="808" t="n">
        <v>0</v>
      </c>
      <c r="BZ25" s="808" t="n">
        <v>0</v>
      </c>
      <c r="CA25" s="808" t="n">
        <v>0</v>
      </c>
      <c r="CB25" s="808" t="n">
        <v>0</v>
      </c>
      <c r="CC25" s="808" t="n">
        <v>0</v>
      </c>
      <c r="CD25" s="808" t="n">
        <v>0</v>
      </c>
      <c r="CE25" s="808" t="n">
        <v>0</v>
      </c>
      <c r="CF25" s="808" t="n">
        <v>0</v>
      </c>
      <c r="CG25" s="808" t="n">
        <v>0</v>
      </c>
      <c r="CH25" s="808" t="n">
        <v>0</v>
      </c>
      <c r="CI25" s="808" t="n">
        <v>0</v>
      </c>
      <c r="CJ25" s="808" t="n">
        <v>0</v>
      </c>
      <c r="CK25" s="808" t="n">
        <v>0</v>
      </c>
      <c r="CL25" s="808" t="n">
        <v>0</v>
      </c>
      <c r="CM25" s="808" t="n">
        <v>0</v>
      </c>
      <c r="CN25" s="808" t="n">
        <v>0</v>
      </c>
      <c r="CO25" s="808" t="n">
        <v>0</v>
      </c>
      <c r="CP25" s="808" t="n">
        <v>0</v>
      </c>
      <c r="CQ25" s="808" t="n">
        <v>0</v>
      </c>
      <c r="CR25" s="808" t="n">
        <v>0</v>
      </c>
      <c r="CS25" s="808" t="n">
        <v>0</v>
      </c>
      <c r="CT25" s="808" t="n">
        <v>0</v>
      </c>
      <c r="CU25" s="808" t="n">
        <v>0</v>
      </c>
      <c r="CV25" s="808" t="n">
        <v>0</v>
      </c>
      <c r="CW25" s="808" t="n">
        <v>0</v>
      </c>
      <c r="CX25" s="808" t="n">
        <v>0</v>
      </c>
      <c r="CY25" s="808" t="n">
        <v>0</v>
      </c>
      <c r="CZ25" s="808" t="n">
        <v>0</v>
      </c>
      <c r="DA25" s="808" t="n">
        <v>0</v>
      </c>
      <c r="DB25" s="808" t="n">
        <v>0</v>
      </c>
      <c r="DC25" s="808" t="n">
        <v>0</v>
      </c>
      <c r="DD25" s="808" t="n">
        <v>0</v>
      </c>
      <c r="DE25" s="808" t="n">
        <v>0</v>
      </c>
      <c r="DF25" s="808" t="n">
        <v>0</v>
      </c>
      <c r="DG25" s="808" t="n">
        <v>0</v>
      </c>
      <c r="DH25" s="808" t="n">
        <v>0</v>
      </c>
      <c r="DI25" s="808" t="n">
        <v>0</v>
      </c>
      <c r="DJ25" s="808" t="n">
        <v>0</v>
      </c>
      <c r="DK25" s="808" t="n">
        <v>0</v>
      </c>
      <c r="DL25" s="808" t="n">
        <v>0</v>
      </c>
      <c r="DM25" s="808" t="n">
        <v>0</v>
      </c>
      <c r="DN25" s="808" t="n">
        <v>0</v>
      </c>
      <c r="DO25" s="808" t="n">
        <v>0</v>
      </c>
      <c r="DP25" s="808" t="n">
        <v>0</v>
      </c>
      <c r="DQ25" s="808" t="n">
        <v>0</v>
      </c>
      <c r="DR25" s="808" t="n">
        <v>0</v>
      </c>
      <c r="DS25" s="808" t="n">
        <v>0</v>
      </c>
      <c r="DT25" s="808" t="n">
        <v>0</v>
      </c>
      <c r="DU25" s="808" t="n">
        <v>0</v>
      </c>
      <c r="DV25" s="808" t="n">
        <v>0</v>
      </c>
      <c r="DW25" s="808" t="n">
        <v>0</v>
      </c>
      <c r="DX25" s="808" t="n">
        <v>0</v>
      </c>
      <c r="DY25" s="808" t="n">
        <v>0</v>
      </c>
      <c r="DZ25" s="808" t="n">
        <v>0</v>
      </c>
      <c r="EA25" s="808" t="n">
        <v>0</v>
      </c>
      <c r="EB25" s="808" t="n">
        <v>0</v>
      </c>
      <c r="EC25" s="808" t="n">
        <v>0</v>
      </c>
      <c r="ED25" s="808" t="n">
        <v>0</v>
      </c>
      <c r="EE25" s="808" t="n">
        <v>0</v>
      </c>
      <c r="EF25" s="808" t="n">
        <v>0</v>
      </c>
      <c r="EG25" s="808" t="n">
        <v>0</v>
      </c>
      <c r="EH25" s="808" t="n">
        <v>0</v>
      </c>
      <c r="EI25" s="808" t="n">
        <v>0</v>
      </c>
      <c r="EJ25" s="808" t="n">
        <v>0</v>
      </c>
      <c r="EK25" s="808" t="n">
        <v>0</v>
      </c>
      <c r="EL25" s="808" t="n">
        <v>0</v>
      </c>
      <c r="EM25" s="808" t="n">
        <v>0</v>
      </c>
      <c r="EN25" s="808" t="n">
        <v>0</v>
      </c>
      <c r="EO25" s="808" t="n">
        <v>0</v>
      </c>
      <c r="EP25" s="808" t="n">
        <v>0</v>
      </c>
      <c r="EQ25" s="808" t="n">
        <v>0</v>
      </c>
      <c r="ER25" s="808" t="n">
        <v>0</v>
      </c>
      <c r="ES25" s="808" t="n">
        <v>0</v>
      </c>
      <c r="ET25" s="808" t="n">
        <v>0</v>
      </c>
      <c r="EU25" s="808" t="n">
        <v>0</v>
      </c>
      <c r="EV25" s="808" t="n">
        <v>0</v>
      </c>
      <c r="EW25" s="808" t="n">
        <v>0</v>
      </c>
      <c r="EX25" s="808" t="n">
        <v>0</v>
      </c>
      <c r="EY25" s="808" t="n">
        <v>0</v>
      </c>
      <c r="EZ25" s="808" t="n">
        <v>0</v>
      </c>
      <c r="FA25" s="808" t="n">
        <v>0</v>
      </c>
      <c r="FB25" s="808" t="n">
        <v>0</v>
      </c>
      <c r="FC25" s="808" t="n">
        <v>0</v>
      </c>
      <c r="FD25" s="808" t="n">
        <v>0</v>
      </c>
      <c r="FE25" s="808" t="n">
        <v>0</v>
      </c>
      <c r="FF25" s="808" t="n">
        <v>0</v>
      </c>
      <c r="FG25" s="808" t="n">
        <v>0</v>
      </c>
      <c r="FH25" s="808" t="n">
        <v>0</v>
      </c>
      <c r="FI25" s="808" t="n">
        <v>0</v>
      </c>
      <c r="FJ25" s="808" t="n">
        <v>0</v>
      </c>
      <c r="FK25" s="808" t="n">
        <v>0</v>
      </c>
      <c r="FL25" s="808" t="n">
        <v>0</v>
      </c>
      <c r="FM25" s="808" t="n">
        <v>0</v>
      </c>
      <c r="FN25" s="808" t="n">
        <v>0</v>
      </c>
      <c r="FO25" s="808" t="n">
        <v>0</v>
      </c>
      <c r="FP25" s="808" t="n">
        <v>0</v>
      </c>
      <c r="FQ25" s="808" t="n">
        <v>0</v>
      </c>
      <c r="FR25" s="808" t="n">
        <v>0</v>
      </c>
      <c r="FS25" s="808" t="n">
        <v>0</v>
      </c>
      <c r="FT25" s="808" t="n">
        <v>0</v>
      </c>
      <c r="FU25" s="808" t="n">
        <v>0</v>
      </c>
      <c r="FV25" s="808" t="n">
        <v>0</v>
      </c>
      <c r="FW25" s="808" t="n">
        <v>0</v>
      </c>
      <c r="FX25" s="808" t="n">
        <v>8</v>
      </c>
      <c r="FY25" s="808" t="n">
        <v>8</v>
      </c>
      <c r="FZ25" s="808" t="n">
        <v>8</v>
      </c>
      <c r="GA25" s="808" t="n">
        <v>8</v>
      </c>
      <c r="GB25" s="808" t="n">
        <v>8</v>
      </c>
      <c r="GC25" s="808" t="n">
        <v>12</v>
      </c>
    </row>
  </sheetData>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ataValidation allowBlank="true" errorStyle="stop" operator="between" showDropDown="false" showErrorMessage="true" showInputMessage="true" sqref="AA14:AB15 U16:AB16"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S23"/>
  <sheetViews>
    <sheetView showFormulas="false" showGridLines="false" showRowColHeaders="true" showZeros="true" rightToLeft="false" tabSelected="false" showOutlineSymbols="true" defaultGridColor="true" view="normal" topLeftCell="C4" colorId="64" zoomScale="90" zoomScaleNormal="90" zoomScalePageLayoutView="100" workbookViewId="0">
      <selection pane="topLeft" activeCell="H19" activeCellId="0" sqref="H19"/>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2" width="4"/>
    <col collapsed="false" customWidth="true" hidden="false" outlineLevel="0" max="4" min="4" style="42" width="6"/>
    <col collapsed="false" customWidth="true" hidden="false" outlineLevel="0" max="5" min="5" style="42" width="36"/>
    <col collapsed="false" customWidth="true" hidden="false" outlineLevel="0" max="6" min="6" style="42" width="9"/>
    <col collapsed="false" customWidth="true" hidden="true" outlineLevel="0" max="7" min="7" style="42" width="42.43"/>
    <col collapsed="false" customWidth="true" hidden="false" outlineLevel="0" max="8" min="8" style="42" width="40.71"/>
    <col collapsed="false" customWidth="true" hidden="false" outlineLevel="0" max="9" min="9" style="45" width="93"/>
    <col collapsed="false" customWidth="true" hidden="false" outlineLevel="0" max="17" min="10" style="42" width="10"/>
    <col collapsed="false" customWidth="true" hidden="false" outlineLevel="0" max="18" min="18" style="108" width="10"/>
    <col collapsed="false" customWidth="false" hidden="true" outlineLevel="0" max="19" min="19" style="42" width="10.57"/>
  </cols>
  <sheetData>
    <row r="1" s="45" customFormat="true" ht="15" hidden="true" customHeight="true" outlineLevel="0" collapsed="false">
      <c r="C1" s="107"/>
      <c r="H1" s="45" t="n">
        <v>4</v>
      </c>
      <c r="R1" s="159"/>
      <c r="S1" s="45" t="s">
        <v>14</v>
      </c>
    </row>
    <row r="2" customFormat="false" ht="22.5" hidden="true" customHeight="true" outlineLevel="0" collapsed="false">
      <c r="C2" s="842" t="s">
        <v>686</v>
      </c>
      <c r="D2" s="200"/>
      <c r="E2" s="332"/>
      <c r="F2" s="150" t="str">
        <f aca="false">IF(TEMPLATE_SPHERE="HEAT","Гкал/час","тыс. куб. м/сутки")</f>
        <v>тыс. куб. м/сутки</v>
      </c>
      <c r="G2" s="748"/>
      <c r="H2" s="748"/>
      <c r="I2" s="423"/>
      <c r="S2" s="42" t="n">
        <v>0</v>
      </c>
    </row>
    <row r="3" s="45" customFormat="true" ht="15" hidden="true" customHeight="true" outlineLevel="0" collapsed="false">
      <c r="C3" s="107"/>
      <c r="R3" s="159"/>
      <c r="S3" s="45" t="n">
        <v>0</v>
      </c>
    </row>
    <row r="4" customFormat="false" ht="15.75" hidden="false" customHeight="true" outlineLevel="0" collapsed="false">
      <c r="S4" s="42" t="n">
        <v>15</v>
      </c>
    </row>
    <row r="5" customFormat="false" ht="39.75" hidden="false" customHeight="true" outlineLevel="0" collapsed="false">
      <c r="D5" s="215" t="str">
        <f aca="false">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5"/>
      <c r="F5" s="215"/>
      <c r="G5" s="215"/>
      <c r="H5" s="215"/>
      <c r="S5" s="42" t="n">
        <v>38</v>
      </c>
    </row>
    <row r="6" customFormat="false" ht="15.75" hidden="false" customHeight="true" outlineLevel="0" collapsed="false">
      <c r="D6" s="259" t="str">
        <f aca="false">IF(org=0,"Не определено",org)</f>
        <v>Филиал ПАО "ОГК-2" - Серовская ГРЭС, г. Серов</v>
      </c>
      <c r="E6" s="259"/>
      <c r="F6" s="259"/>
      <c r="G6" s="259"/>
      <c r="H6" s="259"/>
      <c r="S6" s="42" t="n">
        <v>15</v>
      </c>
    </row>
    <row r="7" s="42" customFormat="true" ht="15.75" hidden="false" customHeight="true" outlineLevel="0" collapsed="false">
      <c r="A7" s="48"/>
      <c r="C7" s="142"/>
      <c r="D7" s="77"/>
      <c r="E7" s="77"/>
      <c r="F7" s="77"/>
      <c r="G7" s="77"/>
      <c r="H7" s="290"/>
      <c r="I7" s="45"/>
      <c r="R7" s="108"/>
      <c r="S7" s="42" t="n">
        <v>15</v>
      </c>
    </row>
    <row r="8" customFormat="false" ht="0.75" hidden="false" customHeight="true" outlineLevel="0" collapsed="false">
      <c r="H8" s="45" t="s">
        <v>115</v>
      </c>
      <c r="S8" s="42" t="n">
        <v>1</v>
      </c>
    </row>
    <row r="9" customFormat="false" ht="15.75" hidden="false" customHeight="true" outlineLevel="0" collapsed="false">
      <c r="D9" s="624"/>
      <c r="E9" s="625" t="s">
        <v>103</v>
      </c>
      <c r="F9" s="625"/>
      <c r="G9" s="843" t="str">
        <f aca="false">IF(G8="","",INDEX(DIFFERENTIATION_UNMERGE_VD,MATCH(G8,DIFFERENTIATION_ID_DIFF,0)))</f>
        <v/>
      </c>
      <c r="H9" s="843" t="str">
        <f aca="false">IF(H8="","",INDEX(DIFFERENTIATION_UNMERGE_VD,MATCH(H8,DIFFERENTIATION_ID_DIFF,0)))</f>
        <v>Водоотведение; Транспортировка</v>
      </c>
      <c r="I9" s="138" t="s">
        <v>298</v>
      </c>
      <c r="S9" s="42" t="n">
        <v>15</v>
      </c>
    </row>
    <row r="10" s="42" customFormat="true" ht="15.75" hidden="false" customHeight="true" outlineLevel="0" collapsed="false">
      <c r="A10" s="48"/>
      <c r="C10" s="142"/>
      <c r="D10" s="624"/>
      <c r="E10" s="625" t="s">
        <v>561</v>
      </c>
      <c r="F10" s="625"/>
      <c r="G10" s="843" t="str">
        <f aca="false">IF(G8="","",INDEX(DIFFERENTIATION_UNMERGE_AREA,MATCH(G8,DIFFERENTIATION_ID_DIFF,0)))</f>
        <v/>
      </c>
      <c r="H10" s="843" t="str">
        <f aca="false">IF(H8="","",INDEX(DIFFERENTIATION_UNMERGE_AREA,MATCH(H8,DIFFERENTIATION_ID_DIFF,0)))</f>
        <v>Территория 1</v>
      </c>
      <c r="I10" s="138"/>
      <c r="R10" s="108"/>
      <c r="S10" s="42" t="n">
        <v>15</v>
      </c>
    </row>
    <row r="11" s="42" customFormat="true" ht="15.75" hidden="false" customHeight="true" outlineLevel="0" collapsed="false">
      <c r="A11" s="48"/>
      <c r="C11" s="142"/>
      <c r="D11" s="624"/>
      <c r="E11" s="625" t="s">
        <v>562</v>
      </c>
      <c r="F11" s="625"/>
      <c r="G11" s="843" t="str">
        <f aca="false">IF(G8="","",INDEX(DIFFERENTIATION_UNMERGE_SYSTEM,MATCH(G8,DIFFERENTIATION_ID_DIFF,0)))</f>
        <v/>
      </c>
      <c r="H11" s="843" t="str">
        <f aca="false">IF(H8="","",INDEX(DIFFERENTIATION_UNMERGE_SYSTEM,MATCH(H8,DIFFERENTIATION_ID_DIFF,0)))</f>
        <v>без дифференциации</v>
      </c>
      <c r="I11" s="138"/>
      <c r="R11" s="108"/>
      <c r="S11" s="42" t="n">
        <v>15</v>
      </c>
    </row>
    <row r="12" s="42" customFormat="true" ht="15.75" hidden="false" customHeight="true" outlineLevel="0" collapsed="false">
      <c r="A12" s="48"/>
      <c r="C12" s="142"/>
      <c r="D12" s="627" t="s">
        <v>297</v>
      </c>
      <c r="E12" s="627"/>
      <c r="F12" s="627"/>
      <c r="G12" s="628"/>
      <c r="H12" s="628"/>
      <c r="I12" s="138"/>
      <c r="R12" s="108"/>
      <c r="S12" s="42" t="n">
        <v>15</v>
      </c>
    </row>
    <row r="13" customFormat="false" ht="35.25" hidden="false" customHeight="true" outlineLevel="0" collapsed="false">
      <c r="D13" s="150" t="s">
        <v>86</v>
      </c>
      <c r="E13" s="138" t="s">
        <v>299</v>
      </c>
      <c r="F13" s="150" t="s">
        <v>563</v>
      </c>
      <c r="G13" s="263" t="s">
        <v>300</v>
      </c>
      <c r="H13" s="263" t="s">
        <v>300</v>
      </c>
      <c r="I13" s="138"/>
      <c r="S13" s="42" t="n">
        <v>34</v>
      </c>
    </row>
    <row r="14" customFormat="false" ht="15" hidden="true" customHeight="true" outlineLevel="0" collapsed="false">
      <c r="D14" s="191" t="s">
        <v>107</v>
      </c>
      <c r="E14" s="191" t="s">
        <v>108</v>
      </c>
      <c r="F14" s="191" t="s">
        <v>88</v>
      </c>
      <c r="G14" s="142" t="str">
        <f aca="false">G1&amp;".1"</f>
        <v>.1</v>
      </c>
      <c r="H14" s="142" t="str">
        <f aca="false">H1&amp;".1"</f>
        <v>4.1</v>
      </c>
      <c r="I14" s="423"/>
      <c r="S14" s="42" t="n">
        <v>0</v>
      </c>
    </row>
    <row r="15" customFormat="false" ht="15.75" hidden="false" customHeight="true" outlineLevel="0" collapsed="false">
      <c r="A15" s="42"/>
      <c r="C15" s="121"/>
      <c r="D15" s="150" t="n">
        <v>1</v>
      </c>
      <c r="E15" s="844" t="str">
        <f aca="false">TP_P_A</f>
        <v>Количество поданных заявлений </v>
      </c>
      <c r="F15" s="150" t="s">
        <v>1112</v>
      </c>
      <c r="G15" s="845"/>
      <c r="H15" s="845" t="n">
        <v>0</v>
      </c>
      <c r="I15" s="726" t="str">
        <f aca="false">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2" t="n">
        <v>15</v>
      </c>
    </row>
    <row r="16" customFormat="false" ht="15.75" hidden="false" customHeight="true" outlineLevel="0" collapsed="false">
      <c r="A16" s="42"/>
      <c r="C16" s="121"/>
      <c r="D16" s="150" t="n">
        <v>2</v>
      </c>
      <c r="E16" s="844" t="str">
        <f aca="false">TP_P_B</f>
        <v>Количество исполненных заявлений </v>
      </c>
      <c r="F16" s="150" t="s">
        <v>1112</v>
      </c>
      <c r="G16" s="845"/>
      <c r="H16" s="845" t="n">
        <v>0</v>
      </c>
      <c r="I16" s="726" t="str">
        <f aca="false">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2" t="n">
        <v>15</v>
      </c>
    </row>
    <row r="17" customFormat="false" ht="77.25" hidden="false" customHeight="true" outlineLevel="0" collapsed="false">
      <c r="A17" s="42"/>
      <c r="C17" s="121"/>
      <c r="D17" s="150" t="n">
        <v>3</v>
      </c>
      <c r="E17" s="844" t="str">
        <f aca="false">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0" t="s">
        <v>1112</v>
      </c>
      <c r="G17" s="845"/>
      <c r="H17" s="845" t="n">
        <v>0</v>
      </c>
      <c r="I17" s="726" t="str">
        <f aca="false">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2" t="n">
        <v>74</v>
      </c>
    </row>
    <row r="18" customFormat="false" ht="54.75" hidden="false" customHeight="true" outlineLevel="0" collapsed="false">
      <c r="A18" s="42"/>
      <c r="C18" s="121"/>
      <c r="D18" s="150" t="n">
        <v>4</v>
      </c>
      <c r="E18" s="844" t="str">
        <f aca="false">TP_P_V_1</f>
        <v>Причины отказа в заключении договора о подключении (технологическом присоединении) к централизованной системе водоотведения</v>
      </c>
      <c r="F18" s="150" t="s">
        <v>303</v>
      </c>
      <c r="G18" s="749"/>
      <c r="H18" s="749"/>
      <c r="I18" s="844" t="str">
        <f aca="false">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42" t="n">
        <v>52</v>
      </c>
    </row>
    <row r="19" customFormat="false" ht="60" hidden="false" customHeight="true" outlineLevel="0" collapsed="false">
      <c r="A19" s="42"/>
      <c r="C19" s="121"/>
      <c r="D19" s="150" t="n">
        <v>5</v>
      </c>
      <c r="E19" s="844" t="str">
        <f aca="false">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150" t="str">
        <f aca="false">IF(TEMPLATE_SPHERE="HEAT","Гкал/час","тыс. куб. м/сутки")</f>
        <v>тыс. куб. м/сутки</v>
      </c>
      <c r="G19" s="846" t="n">
        <f aca="false">SUM(G20:G22)</f>
        <v>0</v>
      </c>
      <c r="H19" s="846" t="n">
        <f aca="false">SUM(H20:H22)</f>
        <v>0.409</v>
      </c>
      <c r="I19" s="726" t="str">
        <f aca="false">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2" t="n">
        <v>57</v>
      </c>
    </row>
    <row r="20" customFormat="false" ht="15" hidden="true" customHeight="true" outlineLevel="0" collapsed="false">
      <c r="D20" s="42" t="s">
        <v>1113</v>
      </c>
      <c r="E20" s="77"/>
      <c r="I20" s="847"/>
      <c r="S20" s="42" t="n">
        <v>0</v>
      </c>
    </row>
    <row r="21" customFormat="false" ht="29.25" hidden="false" customHeight="true" outlineLevel="0" collapsed="false">
      <c r="C21" s="121"/>
      <c r="D21" s="200" t="s">
        <v>310</v>
      </c>
      <c r="E21" s="87" t="s">
        <v>1114</v>
      </c>
      <c r="F21" s="150" t="str">
        <f aca="false">IF(TEMPLATE_SPHERE="HEAT","Гкал/час","тыс. куб. м/сутки")</f>
        <v>тыс. куб. м/сутки</v>
      </c>
      <c r="G21" s="748"/>
      <c r="H21" s="748" t="n">
        <v>0.409</v>
      </c>
      <c r="I21" s="844" t="str">
        <f aca="false">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2" t="n">
        <v>28</v>
      </c>
    </row>
    <row r="22" customFormat="false" ht="15.75" hidden="false" customHeight="true" outlineLevel="0" collapsed="false">
      <c r="A22" s="42"/>
      <c r="C22" s="42"/>
      <c r="D22" s="731"/>
      <c r="E22" s="165" t="s">
        <v>1115</v>
      </c>
      <c r="F22" s="644"/>
      <c r="G22" s="644"/>
      <c r="H22" s="644"/>
      <c r="I22" s="844"/>
      <c r="R22" s="42"/>
      <c r="S22" s="42" t="n">
        <v>15</v>
      </c>
    </row>
    <row r="23" customFormat="false" ht="22.5" hidden="true" customHeight="true" outlineLevel="0" collapsed="false">
      <c r="A23" s="48" t="s">
        <v>80</v>
      </c>
      <c r="B23" s="42" t="n">
        <v>0</v>
      </c>
      <c r="C23" s="142" t="n">
        <v>4</v>
      </c>
      <c r="D23" s="42" t="n">
        <v>6</v>
      </c>
      <c r="E23" s="42" t="n">
        <v>36</v>
      </c>
      <c r="F23" s="42" t="n">
        <v>9</v>
      </c>
      <c r="G23" s="42" t="n">
        <v>0</v>
      </c>
      <c r="H23" s="42" t="n">
        <v>40</v>
      </c>
      <c r="I23" s="45" t="n">
        <v>93</v>
      </c>
      <c r="J23" s="42" t="n">
        <v>10</v>
      </c>
      <c r="K23" s="42" t="n">
        <v>10</v>
      </c>
      <c r="L23" s="42" t="n">
        <v>10</v>
      </c>
      <c r="M23" s="42" t="n">
        <v>10</v>
      </c>
      <c r="N23" s="42" t="n">
        <v>10</v>
      </c>
      <c r="O23" s="42" t="n">
        <v>10</v>
      </c>
      <c r="P23" s="42" t="n">
        <v>10</v>
      </c>
      <c r="Q23" s="42" t="n">
        <v>10</v>
      </c>
      <c r="R23" s="108" t="n">
        <v>10</v>
      </c>
      <c r="S23" s="42" t="n">
        <v>23</v>
      </c>
    </row>
  </sheetData>
  <mergeCells count="8">
    <mergeCell ref="D5:H5"/>
    <mergeCell ref="D6:H6"/>
    <mergeCell ref="E9:F9"/>
    <mergeCell ref="I9:I13"/>
    <mergeCell ref="E10:F10"/>
    <mergeCell ref="E11:F11"/>
    <mergeCell ref="D12:F12"/>
    <mergeCell ref="I21:I22"/>
  </mergeCells>
  <dataValidations count="4">
    <dataValidation allowBlank="true" error="Допускается ввод не более 900 символов!" errorStyle="stop" errorTitle="Ошибка" operator="lessThanOrEqual" showDropDown="false" showErrorMessage="true" showInputMessage="true" sqref="E2 G18:H18 E21"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G15:H17" type="whole">
      <formula1>0</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G2:H2 G21:H21" type="decimal">
      <formula1>-9.99999999999999E+023</formula1>
      <formula2>9.99999999999999E+023</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true"/>
  </sheetPr>
  <dimension ref="A1:Q3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2" width="9.15"/>
    <col collapsed="false" customWidth="true" hidden="true" outlineLevel="0" max="2" min="2" style="45" width="9.15"/>
    <col collapsed="false" customWidth="true" hidden="false" outlineLevel="0" max="3" min="3" style="416" width="3"/>
    <col collapsed="false" customWidth="true" hidden="false" outlineLevel="0" max="4" min="4" style="42" width="6"/>
    <col collapsed="false" customWidth="true" hidden="false" outlineLevel="0" max="6" min="5" style="42" width="64"/>
    <col collapsed="false" customWidth="true" hidden="false" outlineLevel="0" max="7" min="7" style="42" width="140"/>
    <col collapsed="false" customWidth="true" hidden="false" outlineLevel="0" max="8" min="8" style="42" width="10"/>
    <col collapsed="false" customWidth="true" hidden="false" outlineLevel="0" max="10" min="9" style="122" width="10"/>
    <col collapsed="false" customWidth="true" hidden="false" outlineLevel="0" max="16" min="11" style="42" width="10"/>
    <col collapsed="false" customWidth="false" hidden="true" outlineLevel="0" max="17" min="17" style="42" width="10.57"/>
  </cols>
  <sheetData>
    <row r="1" customFormat="false" ht="22.5" hidden="true" customHeight="true" outlineLevel="0" collapsed="false">
      <c r="M1" s="724"/>
      <c r="N1" s="724"/>
      <c r="P1" s="724"/>
      <c r="Q1" s="42" t="s">
        <v>14</v>
      </c>
    </row>
    <row r="2" customFormat="false" ht="14.25" hidden="true" customHeight="true" outlineLevel="0" collapsed="false">
      <c r="Q2" s="42" t="n">
        <v>0</v>
      </c>
    </row>
    <row r="3" customFormat="false" ht="14.25" hidden="true" customHeight="true" outlineLevel="0" collapsed="false">
      <c r="Q3" s="42" t="n">
        <v>0</v>
      </c>
    </row>
    <row r="4" customFormat="false" ht="3" hidden="false" customHeight="true" outlineLevel="0" collapsed="false">
      <c r="C4" s="470"/>
      <c r="D4" s="83"/>
      <c r="E4" s="83"/>
      <c r="F4" s="727"/>
      <c r="G4" s="727"/>
      <c r="Q4" s="42" t="n">
        <v>3</v>
      </c>
    </row>
    <row r="5" customFormat="false" ht="29.25" hidden="false" customHeight="true" outlineLevel="0" collapsed="false">
      <c r="C5" s="470"/>
      <c r="D5" s="389" t="str">
        <f aca="false">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389"/>
      <c r="F5" s="389"/>
      <c r="G5" s="389"/>
      <c r="Q5" s="42" t="n">
        <v>28</v>
      </c>
    </row>
    <row r="6" s="42" customFormat="true" ht="18.75" hidden="false" customHeight="true" outlineLevel="0" collapsed="false">
      <c r="A6" s="52"/>
      <c r="B6" s="45"/>
      <c r="C6" s="470"/>
      <c r="D6" s="259" t="str">
        <f aca="false">IF(org=0,"Не определено",org)</f>
        <v>Филиал ПАО "ОГК-2" - Серовская ГРЭС, г. Серов</v>
      </c>
      <c r="E6" s="259"/>
      <c r="F6" s="259"/>
      <c r="G6" s="259"/>
      <c r="I6" s="122"/>
      <c r="J6" s="122"/>
      <c r="Q6" s="42" t="n">
        <v>18</v>
      </c>
    </row>
    <row r="7" customFormat="false" ht="14.25" hidden="false" customHeight="true" outlineLevel="0" collapsed="false">
      <c r="C7" s="470"/>
      <c r="D7" s="83"/>
      <c r="E7" s="74"/>
      <c r="F7" s="290"/>
      <c r="G7" s="728"/>
      <c r="Q7" s="42" t="n">
        <v>14</v>
      </c>
    </row>
    <row r="8" s="42" customFormat="true" ht="0.75" hidden="false" customHeight="true" outlineLevel="0" collapsed="false">
      <c r="A8" s="52"/>
      <c r="B8" s="45"/>
      <c r="C8" s="470"/>
      <c r="D8" s="83"/>
      <c r="E8" s="74"/>
      <c r="F8" s="290"/>
      <c r="G8" s="728"/>
      <c r="I8" s="122"/>
      <c r="J8" s="122"/>
      <c r="Q8" s="42" t="n">
        <v>1</v>
      </c>
    </row>
    <row r="9" customFormat="false" ht="14.25" hidden="false" customHeight="true" outlineLevel="0" collapsed="false">
      <c r="C9" s="470"/>
      <c r="D9" s="395" t="s">
        <v>297</v>
      </c>
      <c r="E9" s="395"/>
      <c r="F9" s="395"/>
      <c r="G9" s="729" t="s">
        <v>298</v>
      </c>
      <c r="Q9" s="42" t="n">
        <v>14</v>
      </c>
    </row>
    <row r="10" customFormat="false" ht="24" hidden="false" customHeight="true" outlineLevel="0" collapsed="false">
      <c r="C10" s="470"/>
      <c r="D10" s="395" t="s">
        <v>86</v>
      </c>
      <c r="E10" s="220" t="s">
        <v>299</v>
      </c>
      <c r="F10" s="220" t="s">
        <v>387</v>
      </c>
      <c r="G10" s="729"/>
      <c r="Q10" s="42" t="n">
        <v>23</v>
      </c>
    </row>
    <row r="11" customFormat="false" ht="12" hidden="true" customHeight="true" outlineLevel="0" collapsed="false">
      <c r="C11" s="470"/>
      <c r="D11" s="366"/>
      <c r="E11" s="366"/>
      <c r="F11" s="366"/>
      <c r="G11" s="366"/>
      <c r="Q11" s="42" t="n">
        <v>0</v>
      </c>
    </row>
    <row r="12" customFormat="false" ht="65.25" hidden="false" customHeight="true" outlineLevel="0" collapsed="false">
      <c r="A12" s="136"/>
      <c r="C12" s="470"/>
      <c r="D12" s="293" t="n">
        <v>1</v>
      </c>
      <c r="E12" s="848" t="str">
        <f aca="false">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20" t="s">
        <v>303</v>
      </c>
      <c r="G12" s="423"/>
      <c r="Q12" s="42" t="n">
        <v>62</v>
      </c>
    </row>
    <row r="13" customFormat="false" ht="24" hidden="false" customHeight="true" outlineLevel="0" collapsed="false">
      <c r="A13" s="136"/>
      <c r="C13" s="470"/>
      <c r="D13" s="293" t="s">
        <v>1019</v>
      </c>
      <c r="E13" s="849" t="str">
        <f aca="false">"Форма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20" t="s">
        <v>303</v>
      </c>
      <c r="G13" s="423"/>
      <c r="Q13" s="42" t="n">
        <v>23</v>
      </c>
    </row>
    <row r="14" customFormat="false" ht="14.25" hidden="false" customHeight="true" outlineLevel="0" collapsed="false">
      <c r="A14" s="136"/>
      <c r="C14" s="470"/>
      <c r="D14" s="293" t="s">
        <v>1055</v>
      </c>
      <c r="E14" s="850"/>
      <c r="F14" s="408"/>
      <c r="G14" s="844" t="str">
        <f aca="false">"Указывается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42" t="n">
        <v>14</v>
      </c>
    </row>
    <row r="15" customFormat="false" ht="15.75" hidden="false" customHeight="true" outlineLevel="0" collapsed="false">
      <c r="A15" s="136"/>
      <c r="C15" s="470"/>
      <c r="D15" s="731"/>
      <c r="E15" s="214" t="s">
        <v>1116</v>
      </c>
      <c r="F15" s="732"/>
      <c r="G15" s="844"/>
      <c r="Q15" s="42" t="n">
        <v>15</v>
      </c>
    </row>
    <row r="16" customFormat="false" ht="14.25" hidden="false" customHeight="true" outlineLevel="0" collapsed="false">
      <c r="A16" s="136"/>
      <c r="C16" s="470"/>
      <c r="D16" s="293" t="s">
        <v>1021</v>
      </c>
      <c r="E16" s="849" t="str">
        <f aca="false">"Договор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20" t="s">
        <v>303</v>
      </c>
      <c r="G16" s="481"/>
      <c r="Q16" s="42" t="n">
        <v>14</v>
      </c>
    </row>
    <row r="17" customFormat="false" ht="14.25" hidden="false" customHeight="true" outlineLevel="0" collapsed="false">
      <c r="A17" s="136"/>
      <c r="C17" s="470"/>
      <c r="D17" s="293" t="s">
        <v>1063</v>
      </c>
      <c r="E17" s="850"/>
      <c r="F17" s="723"/>
      <c r="G17" s="844" t="str">
        <f aca="false">"Информация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42" t="n">
        <v>14</v>
      </c>
    </row>
    <row r="18" s="42" customFormat="true" ht="21.75" hidden="false" customHeight="true" outlineLevel="0" collapsed="false">
      <c r="A18" s="136"/>
      <c r="B18" s="45"/>
      <c r="C18" s="470"/>
      <c r="D18" s="731"/>
      <c r="E18" s="214" t="s">
        <v>1117</v>
      </c>
      <c r="F18" s="851"/>
      <c r="G18" s="844"/>
      <c r="I18" s="122"/>
      <c r="J18" s="122"/>
      <c r="Q18" s="42" t="n">
        <v>21</v>
      </c>
    </row>
    <row r="19" s="42" customFormat="true" ht="256.5" hidden="true" customHeight="true" outlineLevel="0" collapsed="false">
      <c r="A19" s="136"/>
      <c r="B19" s="45"/>
      <c r="C19" s="470"/>
      <c r="D19" s="293" t="s">
        <v>1023</v>
      </c>
      <c r="E19" s="849" t="s">
        <v>1118</v>
      </c>
      <c r="F19" s="723"/>
      <c r="G19" s="852" t="s">
        <v>1119</v>
      </c>
      <c r="I19" s="122"/>
      <c r="J19" s="122"/>
      <c r="Q19" s="42" t="n">
        <v>0</v>
      </c>
    </row>
    <row r="20" s="42" customFormat="true" ht="14.25" hidden="false" customHeight="true" outlineLevel="0" collapsed="false">
      <c r="A20" s="136"/>
      <c r="B20" s="45"/>
      <c r="C20" s="470"/>
      <c r="D20" s="294" t="n">
        <v>2</v>
      </c>
      <c r="E20" s="849" t="s">
        <v>1120</v>
      </c>
      <c r="F20" s="220" t="s">
        <v>303</v>
      </c>
      <c r="G20" s="481"/>
      <c r="I20" s="122"/>
      <c r="J20" s="122"/>
      <c r="Q20" s="42" t="n">
        <v>14</v>
      </c>
    </row>
    <row r="21" s="42" customFormat="true" ht="18.75" hidden="true" customHeight="true" outlineLevel="0" collapsed="false">
      <c r="A21" s="136"/>
      <c r="B21" s="45"/>
      <c r="C21" s="470"/>
      <c r="D21" s="853" t="s">
        <v>633</v>
      </c>
      <c r="E21" s="854"/>
      <c r="F21" s="855"/>
      <c r="G21" s="856"/>
      <c r="H21" s="688"/>
      <c r="I21" s="122"/>
      <c r="J21" s="122"/>
      <c r="Q21" s="42" t="n">
        <v>0</v>
      </c>
    </row>
    <row r="22" customFormat="false" ht="15.75" hidden="false" customHeight="true" outlineLevel="0" collapsed="false">
      <c r="A22" s="136"/>
      <c r="C22" s="470"/>
      <c r="D22" s="731"/>
      <c r="E22" s="165" t="s">
        <v>319</v>
      </c>
      <c r="F22" s="851"/>
      <c r="G22" s="673"/>
      <c r="Q22" s="42" t="n">
        <v>15</v>
      </c>
    </row>
    <row r="23" s="42" customFormat="true" ht="22.5" hidden="true" customHeight="true" outlineLevel="0" collapsed="false">
      <c r="A23" s="136"/>
      <c r="B23" s="45"/>
      <c r="C23" s="470"/>
      <c r="D23" s="293" t="s">
        <v>108</v>
      </c>
      <c r="E23" s="848" t="s">
        <v>1121</v>
      </c>
      <c r="F23" s="220" t="s">
        <v>303</v>
      </c>
      <c r="G23" s="423"/>
      <c r="I23" s="122"/>
      <c r="J23" s="122"/>
      <c r="Q23" s="42" t="n">
        <v>0</v>
      </c>
    </row>
    <row r="24" s="42" customFormat="true" ht="14.25" hidden="true" customHeight="true" outlineLevel="0" collapsed="false">
      <c r="A24" s="136"/>
      <c r="B24" s="45"/>
      <c r="C24" s="470"/>
      <c r="D24" s="293" t="s">
        <v>706</v>
      </c>
      <c r="E24" s="849" t="s">
        <v>1122</v>
      </c>
      <c r="F24" s="220" t="s">
        <v>303</v>
      </c>
      <c r="G24" s="481"/>
      <c r="I24" s="122"/>
      <c r="J24" s="122"/>
      <c r="Q24" s="42" t="n">
        <v>0</v>
      </c>
    </row>
    <row r="25" s="42" customFormat="true" ht="14.25" hidden="true" customHeight="true" outlineLevel="0" collapsed="false">
      <c r="A25" s="136"/>
      <c r="B25" s="45"/>
      <c r="C25" s="470"/>
      <c r="D25" s="293" t="s">
        <v>709</v>
      </c>
      <c r="E25" s="850"/>
      <c r="F25" s="723"/>
      <c r="G25" s="390" t="s">
        <v>1123</v>
      </c>
      <c r="I25" s="122"/>
      <c r="J25" s="122"/>
      <c r="Q25" s="42" t="n">
        <v>0</v>
      </c>
    </row>
    <row r="26" s="42" customFormat="true" ht="22.5" hidden="true" customHeight="true" outlineLevel="0" collapsed="false">
      <c r="A26" s="136"/>
      <c r="B26" s="45"/>
      <c r="C26" s="470"/>
      <c r="D26" s="731"/>
      <c r="E26" s="214" t="s">
        <v>1124</v>
      </c>
      <c r="F26" s="851"/>
      <c r="G26" s="390"/>
      <c r="I26" s="122"/>
      <c r="J26" s="122"/>
      <c r="Q26" s="42" t="n">
        <v>0</v>
      </c>
    </row>
    <row r="27" customFormat="false" ht="3" hidden="false" customHeight="true" outlineLevel="0" collapsed="false">
      <c r="Q27" s="42" t="n">
        <v>3</v>
      </c>
    </row>
    <row r="28" customFormat="false" ht="14.25" hidden="false" customHeight="true" outlineLevel="0" collapsed="false">
      <c r="D28" s="414"/>
      <c r="E28" s="750"/>
      <c r="F28" s="340"/>
      <c r="G28" s="340"/>
      <c r="H28" s="340"/>
      <c r="I28" s="340"/>
      <c r="J28" s="340"/>
      <c r="K28" s="340"/>
      <c r="L28" s="340"/>
      <c r="M28" s="340"/>
      <c r="N28" s="340"/>
      <c r="O28" s="340"/>
      <c r="P28" s="340"/>
      <c r="Q28" s="42" t="n">
        <v>14</v>
      </c>
    </row>
    <row r="29" customFormat="false" ht="14.25" hidden="false" customHeight="true" outlineLevel="0" collapsed="false">
      <c r="D29" s="414"/>
      <c r="E29" s="100"/>
      <c r="Q29" s="42" t="n">
        <v>14</v>
      </c>
    </row>
    <row r="30" customFormat="false" ht="14.25" hidden="false" customHeight="true" outlineLevel="0" collapsed="false">
      <c r="Q30" s="42" t="n">
        <v>14</v>
      </c>
    </row>
    <row r="31" customFormat="false" ht="14.25" hidden="false" customHeight="true" outlineLevel="0" collapsed="false">
      <c r="Q31" s="42" t="n">
        <v>14</v>
      </c>
    </row>
    <row r="32" customFormat="false" ht="22.5" hidden="true" customHeight="true" outlineLevel="0" collapsed="false">
      <c r="A32" s="52" t="s">
        <v>80</v>
      </c>
      <c r="B32" s="45" t="n">
        <v>0</v>
      </c>
      <c r="C32" s="416" t="n">
        <v>3</v>
      </c>
      <c r="D32" s="42" t="n">
        <v>6</v>
      </c>
      <c r="E32" s="42" t="n">
        <v>64</v>
      </c>
      <c r="F32" s="42" t="n">
        <v>64</v>
      </c>
      <c r="G32" s="42" t="n">
        <v>140</v>
      </c>
      <c r="H32" s="42" t="n">
        <v>10</v>
      </c>
      <c r="I32" s="122" t="n">
        <v>10</v>
      </c>
      <c r="J32" s="122" t="n">
        <v>10</v>
      </c>
      <c r="K32" s="42" t="n">
        <v>10</v>
      </c>
      <c r="L32" s="42" t="n">
        <v>10</v>
      </c>
      <c r="M32" s="42" t="n">
        <v>10</v>
      </c>
      <c r="N32" s="42" t="n">
        <v>10</v>
      </c>
      <c r="O32" s="42" t="n">
        <v>10</v>
      </c>
      <c r="P32" s="42" t="n">
        <v>10</v>
      </c>
      <c r="Q32" s="42" t="n">
        <v>23</v>
      </c>
    </row>
  </sheetData>
  <mergeCells count="7">
    <mergeCell ref="D5:G5"/>
    <mergeCell ref="D6:G6"/>
    <mergeCell ref="D9:F9"/>
    <mergeCell ref="G9:G10"/>
    <mergeCell ref="G14:G15"/>
    <mergeCell ref="G17:G18"/>
    <mergeCell ref="G25:G26"/>
  </mergeCells>
  <dataValidations count="2">
    <dataValidation allowBlank="true" error="Допускается ввод не более 900 символов!" errorStyle="stop" errorTitle="Ошибка" operator="lessThanOrEqual" showDropDown="false" showErrorMessage="true" showInputMessage="true" sqref="E14 G14 E17 G17 G21 E25 G25"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14 F17:F19 F25:F26"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M4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3" width="9.15"/>
    <col collapsed="false" customWidth="true" hidden="true" outlineLevel="0" max="2" min="2" style="45" width="9.15"/>
    <col collapsed="false" customWidth="true" hidden="false" outlineLevel="0" max="3" min="3" style="416" width="3"/>
    <col collapsed="false" customWidth="true" hidden="false" outlineLevel="0" max="4" min="4" style="42" width="6"/>
    <col collapsed="false" customWidth="true" hidden="false" outlineLevel="0" max="5" min="5" style="42" width="63"/>
    <col collapsed="false" customWidth="true" hidden="true" outlineLevel="0" max="6" min="6" style="42" width="1.71"/>
    <col collapsed="false" customWidth="true" hidden="false" outlineLevel="0" max="8" min="7" style="42" width="35"/>
    <col collapsed="false" customWidth="true" hidden="false" outlineLevel="0" max="9" min="9" style="42" width="91"/>
    <col collapsed="false" customWidth="true" hidden="false" outlineLevel="0" max="10" min="10" style="42" width="68"/>
    <col collapsed="false" customWidth="true" hidden="false" outlineLevel="0" max="12" min="11" style="122" width="10"/>
    <col collapsed="false" customWidth="false" hidden="true" outlineLevel="0" max="13" min="13" style="42" width="10.57"/>
  </cols>
  <sheetData>
    <row r="1" customFormat="false" ht="22.5" hidden="true" customHeight="true" outlineLevel="0" collapsed="false">
      <c r="M1" s="42" t="s">
        <v>14</v>
      </c>
    </row>
    <row r="2" s="42" customFormat="true" ht="18.75" hidden="true" customHeight="true" outlineLevel="0" collapsed="false">
      <c r="A2" s="56"/>
      <c r="B2" s="45"/>
      <c r="C2" s="725" t="s">
        <v>686</v>
      </c>
      <c r="D2" s="293"/>
      <c r="E2" s="86"/>
      <c r="F2" s="220"/>
      <c r="G2" s="220" t="s">
        <v>303</v>
      </c>
      <c r="H2" s="408"/>
      <c r="K2" s="122"/>
      <c r="L2" s="122"/>
      <c r="M2" s="42" t="n">
        <v>0</v>
      </c>
    </row>
    <row r="3" s="42" customFormat="true" ht="14.25" hidden="true" customHeight="true" outlineLevel="0" collapsed="false">
      <c r="A3" s="53"/>
      <c r="B3" s="45"/>
      <c r="C3" s="416"/>
      <c r="K3" s="122"/>
      <c r="L3" s="122"/>
      <c r="M3" s="42" t="n">
        <v>0</v>
      </c>
    </row>
    <row r="4" s="42" customFormat="true" ht="18.75" hidden="true" customHeight="true" outlineLevel="0" collapsed="false">
      <c r="A4" s="56"/>
      <c r="B4" s="45"/>
      <c r="C4" s="725" t="s">
        <v>686</v>
      </c>
      <c r="D4" s="293"/>
      <c r="E4" s="788" t="s">
        <v>1125</v>
      </c>
      <c r="F4" s="220"/>
      <c r="G4" s="857"/>
      <c r="H4" s="220" t="s">
        <v>303</v>
      </c>
      <c r="K4" s="122"/>
      <c r="L4" s="122"/>
      <c r="M4" s="42" t="n">
        <v>0</v>
      </c>
    </row>
    <row r="5" s="42" customFormat="true" ht="14.25" hidden="true" customHeight="true" outlineLevel="0" collapsed="false">
      <c r="A5" s="53"/>
      <c r="B5" s="45"/>
      <c r="C5" s="416"/>
      <c r="K5" s="122"/>
      <c r="L5" s="122"/>
      <c r="M5" s="42" t="n">
        <v>0</v>
      </c>
    </row>
    <row r="6" s="42" customFormat="true" ht="18.75" hidden="true" customHeight="true" outlineLevel="0" collapsed="false">
      <c r="A6" s="56"/>
      <c r="B6" s="45"/>
      <c r="C6" s="725" t="s">
        <v>686</v>
      </c>
      <c r="D6" s="293"/>
      <c r="E6" s="858" t="s">
        <v>1126</v>
      </c>
      <c r="F6" s="220"/>
      <c r="G6" s="857"/>
      <c r="H6" s="220" t="s">
        <v>303</v>
      </c>
      <c r="K6" s="122"/>
      <c r="L6" s="122"/>
      <c r="M6" s="42" t="n">
        <v>0</v>
      </c>
    </row>
    <row r="7" s="42" customFormat="true" ht="14.25" hidden="true" customHeight="true" outlineLevel="0" collapsed="false">
      <c r="A7" s="53"/>
      <c r="B7" s="45"/>
      <c r="C7" s="416"/>
      <c r="K7" s="122"/>
      <c r="L7" s="122"/>
      <c r="M7" s="42" t="n">
        <v>0</v>
      </c>
    </row>
    <row r="8" s="42" customFormat="true" ht="18.75" hidden="true" customHeight="true" outlineLevel="0" collapsed="false">
      <c r="A8" s="56"/>
      <c r="B8" s="45"/>
      <c r="C8" s="725" t="s">
        <v>686</v>
      </c>
      <c r="D8" s="293"/>
      <c r="E8" s="858" t="s">
        <v>1127</v>
      </c>
      <c r="F8" s="220"/>
      <c r="G8" s="857"/>
      <c r="H8" s="220" t="s">
        <v>303</v>
      </c>
      <c r="K8" s="122"/>
      <c r="L8" s="122"/>
      <c r="M8" s="42" t="n">
        <v>0</v>
      </c>
    </row>
    <row r="9" s="42" customFormat="true" ht="14.25" hidden="true" customHeight="true" outlineLevel="0" collapsed="false">
      <c r="A9" s="53"/>
      <c r="B9" s="45"/>
      <c r="C9" s="416"/>
      <c r="K9" s="122"/>
      <c r="L9" s="122"/>
      <c r="M9" s="42" t="n">
        <v>0</v>
      </c>
    </row>
    <row r="10" s="42" customFormat="true" ht="18.75" hidden="true" customHeight="true" outlineLevel="0" collapsed="false">
      <c r="A10" s="56"/>
      <c r="B10" s="45"/>
      <c r="C10" s="725" t="s">
        <v>686</v>
      </c>
      <c r="D10" s="293"/>
      <c r="E10" s="858" t="s">
        <v>1128</v>
      </c>
      <c r="F10" s="220"/>
      <c r="G10" s="334"/>
      <c r="H10" s="220" t="s">
        <v>303</v>
      </c>
      <c r="K10" s="122"/>
      <c r="L10" s="122" t="s">
        <v>1129</v>
      </c>
      <c r="M10" s="42" t="n">
        <v>0</v>
      </c>
    </row>
    <row r="11" customFormat="false" ht="14.25" hidden="true" customHeight="true" outlineLevel="0" collapsed="false">
      <c r="M11" s="42" t="n">
        <v>0</v>
      </c>
    </row>
    <row r="12" customFormat="false" ht="14.25" hidden="true" customHeight="true" outlineLevel="0" collapsed="false">
      <c r="M12" s="42" t="n">
        <v>0</v>
      </c>
    </row>
    <row r="13" customFormat="false" ht="14.25" hidden="false" customHeight="true" outlineLevel="0" collapsed="false">
      <c r="C13" s="470"/>
      <c r="D13" s="83"/>
      <c r="E13" s="83"/>
      <c r="F13" s="83"/>
      <c r="G13" s="83"/>
      <c r="H13" s="727"/>
      <c r="I13" s="727"/>
      <c r="M13" s="42" t="n">
        <v>14</v>
      </c>
    </row>
    <row r="14" customFormat="false" ht="29.25" hidden="false" customHeight="true" outlineLevel="0" collapsed="false">
      <c r="C14" s="470"/>
      <c r="D14" s="215" t="str">
        <f aca="false">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5"/>
      <c r="F14" s="215"/>
      <c r="G14" s="215"/>
      <c r="H14" s="215"/>
      <c r="M14" s="42" t="n">
        <v>28</v>
      </c>
    </row>
    <row r="15" s="42" customFormat="true" ht="14.25" hidden="false" customHeight="true" outlineLevel="0" collapsed="false">
      <c r="A15" s="53"/>
      <c r="B15" s="45"/>
      <c r="C15" s="470"/>
      <c r="D15" s="259" t="str">
        <f aca="false">IF(org=0,"Не определено",org)</f>
        <v>Филиал ПАО "ОГК-2" - Серовская ГРЭС, г. Серов</v>
      </c>
      <c r="E15" s="259"/>
      <c r="F15" s="259"/>
      <c r="G15" s="259"/>
      <c r="H15" s="259"/>
      <c r="J15" s="309"/>
      <c r="K15" s="122"/>
      <c r="L15" s="122"/>
      <c r="M15" s="42" t="n">
        <v>14</v>
      </c>
    </row>
    <row r="16" customFormat="false" ht="14.25" hidden="false" customHeight="true" outlineLevel="0" collapsed="false">
      <c r="C16" s="470"/>
      <c r="D16" s="83"/>
      <c r="E16" s="74"/>
      <c r="F16" s="74"/>
      <c r="G16" s="74"/>
      <c r="H16" s="290"/>
      <c r="I16" s="728"/>
      <c r="M16" s="42" t="n">
        <v>14</v>
      </c>
    </row>
    <row r="17" s="42" customFormat="true" ht="14.25" hidden="true" customHeight="true" outlineLevel="0" collapsed="false">
      <c r="A17" s="53"/>
      <c r="B17" s="45"/>
      <c r="C17" s="470"/>
      <c r="D17" s="83"/>
      <c r="E17" s="74"/>
      <c r="F17" s="74"/>
      <c r="G17" s="74"/>
      <c r="H17" s="290"/>
      <c r="I17" s="728"/>
      <c r="K17" s="122"/>
      <c r="L17" s="122"/>
      <c r="M17" s="42" t="n">
        <v>0</v>
      </c>
    </row>
    <row r="18" customFormat="false" ht="21.75" hidden="false" customHeight="true" outlineLevel="0" collapsed="false">
      <c r="C18" s="470"/>
      <c r="D18" s="395" t="s">
        <v>297</v>
      </c>
      <c r="E18" s="395"/>
      <c r="F18" s="395"/>
      <c r="G18" s="395"/>
      <c r="H18" s="395"/>
      <c r="I18" s="729" t="s">
        <v>298</v>
      </c>
      <c r="M18" s="42" t="n">
        <v>21</v>
      </c>
    </row>
    <row r="19" customFormat="false" ht="21.75" hidden="false" customHeight="true" outlineLevel="0" collapsed="false">
      <c r="C19" s="470"/>
      <c r="D19" s="395" t="s">
        <v>86</v>
      </c>
      <c r="E19" s="220" t="s">
        <v>299</v>
      </c>
      <c r="F19" s="220"/>
      <c r="G19" s="220" t="s">
        <v>300</v>
      </c>
      <c r="H19" s="220" t="s">
        <v>387</v>
      </c>
      <c r="I19" s="729"/>
      <c r="M19" s="42" t="n">
        <v>21</v>
      </c>
    </row>
    <row r="20" customFormat="false" ht="12" hidden="true" customHeight="true" outlineLevel="0" collapsed="false">
      <c r="C20" s="470"/>
      <c r="D20" s="366"/>
      <c r="E20" s="366"/>
      <c r="F20" s="366"/>
      <c r="G20" s="366"/>
      <c r="H20" s="366"/>
      <c r="I20" s="366"/>
      <c r="M20" s="42" t="n">
        <v>0</v>
      </c>
    </row>
    <row r="21" customFormat="false" ht="14.25" hidden="false" customHeight="true" outlineLevel="0" collapsed="false">
      <c r="A21" s="56"/>
      <c r="C21" s="470"/>
      <c r="D21" s="293" t="n">
        <v>1</v>
      </c>
      <c r="E21" s="730" t="s">
        <v>1130</v>
      </c>
      <c r="F21" s="730"/>
      <c r="G21" s="730"/>
      <c r="H21" s="730"/>
      <c r="I21" s="726"/>
      <c r="M21" s="42" t="n">
        <v>14</v>
      </c>
    </row>
    <row r="22" customFormat="false" ht="21" hidden="false" customHeight="true" outlineLevel="0" collapsed="false">
      <c r="A22" s="56"/>
      <c r="C22" s="470"/>
      <c r="D22" s="293" t="s">
        <v>1019</v>
      </c>
      <c r="E22" s="849" t="s">
        <v>1131</v>
      </c>
      <c r="F22" s="220"/>
      <c r="G22" s="859"/>
      <c r="H22" s="220" t="s">
        <v>303</v>
      </c>
      <c r="I22" s="423" t="s">
        <v>1132</v>
      </c>
      <c r="M22" s="42" t="n">
        <v>20</v>
      </c>
    </row>
    <row r="23" customFormat="false" ht="60" hidden="false" customHeight="true" outlineLevel="0" collapsed="false">
      <c r="A23" s="56"/>
      <c r="C23" s="470"/>
      <c r="D23" s="293" t="s">
        <v>1021</v>
      </c>
      <c r="E23" s="788" t="s">
        <v>1133</v>
      </c>
      <c r="F23" s="220"/>
      <c r="G23" s="857"/>
      <c r="H23" s="408"/>
      <c r="I23" s="390" t="s">
        <v>1134</v>
      </c>
      <c r="M23" s="42" t="n">
        <v>57</v>
      </c>
    </row>
    <row r="24" customFormat="false" ht="14.25" hidden="false" customHeight="true" outlineLevel="0" collapsed="false">
      <c r="A24" s="56"/>
      <c r="B24" s="45" t="n">
        <v>3</v>
      </c>
      <c r="C24" s="470"/>
      <c r="D24" s="293" t="n">
        <v>2</v>
      </c>
      <c r="E24" s="730" t="str">
        <f aca="false">"Форма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20"/>
      <c r="G24" s="220" t="s">
        <v>303</v>
      </c>
      <c r="H24" s="408"/>
      <c r="I24" s="281" t="s">
        <v>628</v>
      </c>
      <c r="M24" s="42" t="n">
        <v>14</v>
      </c>
    </row>
    <row r="25" customFormat="false" ht="48" hidden="false" customHeight="true" outlineLevel="0" collapsed="false">
      <c r="A25" s="56"/>
      <c r="C25" s="470"/>
      <c r="D25" s="293" t="n">
        <v>3</v>
      </c>
      <c r="E25" s="730" t="str">
        <f aca="false">"Перечень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730"/>
      <c r="G25" s="730"/>
      <c r="H25" s="730"/>
      <c r="I25" s="726"/>
      <c r="M25" s="42" t="n">
        <v>46</v>
      </c>
    </row>
    <row r="26" customFormat="false" ht="14.25" hidden="false" customHeight="true" outlineLevel="0" collapsed="false">
      <c r="A26" s="56"/>
      <c r="C26" s="470"/>
      <c r="D26" s="293" t="s">
        <v>321</v>
      </c>
      <c r="E26" s="86"/>
      <c r="F26" s="220"/>
      <c r="G26" s="220" t="s">
        <v>303</v>
      </c>
      <c r="H26" s="408"/>
      <c r="I26" s="390" t="s">
        <v>1135</v>
      </c>
      <c r="M26" s="42" t="n">
        <v>14</v>
      </c>
    </row>
    <row r="27" customFormat="false" ht="15.75" hidden="false" customHeight="true" outlineLevel="0" collapsed="false">
      <c r="A27" s="56" t="s">
        <v>107</v>
      </c>
      <c r="C27" s="470"/>
      <c r="D27" s="731"/>
      <c r="E27" s="165" t="s">
        <v>319</v>
      </c>
      <c r="F27" s="214"/>
      <c r="G27" s="214"/>
      <c r="H27" s="732"/>
      <c r="I27" s="390"/>
      <c r="M27" s="42" t="n">
        <v>15</v>
      </c>
    </row>
    <row r="28" customFormat="false" ht="39.75" hidden="false" customHeight="true" outlineLevel="0" collapsed="false">
      <c r="A28" s="56"/>
      <c r="B28" s="45" t="n">
        <v>3</v>
      </c>
      <c r="C28" s="470"/>
      <c r="D28" s="293" t="n">
        <v>4</v>
      </c>
      <c r="E28" s="730" t="str">
        <f aca="false">"Реквизиты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730"/>
      <c r="G28" s="730"/>
      <c r="H28" s="730"/>
      <c r="I28" s="726"/>
      <c r="M28" s="42" t="n">
        <v>38</v>
      </c>
    </row>
    <row r="29" customFormat="false" ht="21" hidden="false" customHeight="true" outlineLevel="0" collapsed="false">
      <c r="A29" s="56"/>
      <c r="C29" s="470"/>
      <c r="D29" s="293" t="s">
        <v>751</v>
      </c>
      <c r="E29" s="788" t="s">
        <v>1125</v>
      </c>
      <c r="F29" s="220"/>
      <c r="G29" s="857"/>
      <c r="H29" s="220" t="s">
        <v>303</v>
      </c>
      <c r="I29" s="390" t="s">
        <v>1136</v>
      </c>
      <c r="M29" s="42" t="n">
        <v>20</v>
      </c>
    </row>
    <row r="30" customFormat="false" ht="15.75" hidden="false" customHeight="true" outlineLevel="0" collapsed="false">
      <c r="A30" s="56" t="s">
        <v>108</v>
      </c>
      <c r="C30" s="470"/>
      <c r="D30" s="731"/>
      <c r="E30" s="165" t="s">
        <v>319</v>
      </c>
      <c r="F30" s="214"/>
      <c r="G30" s="214"/>
      <c r="H30" s="732"/>
      <c r="I30" s="390"/>
      <c r="M30" s="42" t="n">
        <v>15</v>
      </c>
    </row>
    <row r="31" customFormat="false" ht="31.5" hidden="false" customHeight="true" outlineLevel="0" collapsed="false">
      <c r="A31" s="56"/>
      <c r="B31" s="45" t="n">
        <v>3</v>
      </c>
      <c r="C31" s="470"/>
      <c r="D31" s="293" t="n">
        <v>5</v>
      </c>
      <c r="E31" s="730" t="str">
        <f aca="fals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730"/>
      <c r="G31" s="730"/>
      <c r="H31" s="730"/>
      <c r="I31" s="726"/>
      <c r="M31" s="42" t="n">
        <v>30</v>
      </c>
    </row>
    <row r="32" customFormat="false" ht="27" hidden="false" customHeight="true" outlineLevel="0" collapsed="false">
      <c r="A32" s="56"/>
      <c r="C32" s="470"/>
      <c r="D32" s="293" t="s">
        <v>310</v>
      </c>
      <c r="E32" s="849" t="str">
        <f aca="false">"телефоны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849"/>
      <c r="G32" s="849"/>
      <c r="H32" s="849"/>
      <c r="I32" s="726"/>
      <c r="M32" s="42" t="n">
        <v>26</v>
      </c>
    </row>
    <row r="33" customFormat="false" ht="14.25" hidden="false" customHeight="true" outlineLevel="0" collapsed="false">
      <c r="A33" s="56"/>
      <c r="C33" s="470"/>
      <c r="D33" s="293" t="s">
        <v>1137</v>
      </c>
      <c r="E33" s="858" t="s">
        <v>1126</v>
      </c>
      <c r="F33" s="220"/>
      <c r="G33" s="857"/>
      <c r="H33" s="220" t="s">
        <v>303</v>
      </c>
      <c r="I33" s="390" t="s">
        <v>1138</v>
      </c>
      <c r="M33" s="42" t="n">
        <v>14</v>
      </c>
    </row>
    <row r="34" customFormat="false" ht="15.75" hidden="false" customHeight="true" outlineLevel="0" collapsed="false">
      <c r="A34" s="56" t="s">
        <v>88</v>
      </c>
      <c r="C34" s="470"/>
      <c r="D34" s="731"/>
      <c r="E34" s="214" t="s">
        <v>319</v>
      </c>
      <c r="F34" s="587"/>
      <c r="G34" s="587"/>
      <c r="H34" s="732"/>
      <c r="I34" s="390"/>
      <c r="M34" s="42" t="n">
        <v>15</v>
      </c>
    </row>
    <row r="35" customFormat="false" ht="24.75" hidden="false" customHeight="true" outlineLevel="0" collapsed="false">
      <c r="A35" s="56"/>
      <c r="C35" s="470"/>
      <c r="D35" s="293" t="s">
        <v>879</v>
      </c>
      <c r="E35" s="849" t="str">
        <f aca="false">"адреса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849"/>
      <c r="G35" s="849"/>
      <c r="H35" s="849"/>
      <c r="I35" s="726"/>
      <c r="M35" s="42" t="n">
        <v>24</v>
      </c>
    </row>
    <row r="36" customFormat="false" ht="14.25" hidden="false" customHeight="true" outlineLevel="0" collapsed="false">
      <c r="A36" s="56"/>
      <c r="C36" s="470"/>
      <c r="D36" s="293" t="s">
        <v>1139</v>
      </c>
      <c r="E36" s="858" t="s">
        <v>1127</v>
      </c>
      <c r="F36" s="220"/>
      <c r="G36" s="857"/>
      <c r="H36" s="220" t="s">
        <v>303</v>
      </c>
      <c r="I36" s="390" t="s">
        <v>1140</v>
      </c>
      <c r="M36" s="42" t="n">
        <v>14</v>
      </c>
    </row>
    <row r="37" customFormat="false" ht="15.75" hidden="false" customHeight="true" outlineLevel="0" collapsed="false">
      <c r="A37" s="56" t="s">
        <v>89</v>
      </c>
      <c r="C37" s="470"/>
      <c r="D37" s="731"/>
      <c r="E37" s="214" t="s">
        <v>319</v>
      </c>
      <c r="F37" s="587"/>
      <c r="G37" s="587"/>
      <c r="H37" s="732"/>
      <c r="I37" s="390"/>
      <c r="M37" s="42" t="n">
        <v>15</v>
      </c>
    </row>
    <row r="38" customFormat="false" ht="27" hidden="false" customHeight="true" outlineLevel="0" collapsed="false">
      <c r="A38" s="56"/>
      <c r="C38" s="470"/>
      <c r="D38" s="293" t="s">
        <v>880</v>
      </c>
      <c r="E38" s="849" t="str">
        <f aca="false">"график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849"/>
      <c r="G38" s="849"/>
      <c r="H38" s="849"/>
      <c r="I38" s="726"/>
      <c r="M38" s="42" t="n">
        <v>26</v>
      </c>
    </row>
    <row r="39" customFormat="false" ht="14.25" hidden="false" customHeight="true" outlineLevel="0" collapsed="false">
      <c r="A39" s="56"/>
      <c r="C39" s="470"/>
      <c r="D39" s="293" t="s">
        <v>881</v>
      </c>
      <c r="E39" s="858" t="s">
        <v>1128</v>
      </c>
      <c r="F39" s="220"/>
      <c r="G39" s="334"/>
      <c r="H39" s="220" t="s">
        <v>303</v>
      </c>
      <c r="I39" s="390" t="s">
        <v>1141</v>
      </c>
      <c r="L39" s="122" t="s">
        <v>1129</v>
      </c>
      <c r="M39" s="42" t="n">
        <v>14</v>
      </c>
    </row>
    <row r="40" customFormat="false" ht="15.75" hidden="false" customHeight="true" outlineLevel="0" collapsed="false">
      <c r="A40" s="56" t="s">
        <v>109</v>
      </c>
      <c r="C40" s="470"/>
      <c r="D40" s="731"/>
      <c r="E40" s="214" t="s">
        <v>319</v>
      </c>
      <c r="F40" s="587"/>
      <c r="G40" s="587"/>
      <c r="H40" s="732"/>
      <c r="I40" s="390"/>
      <c r="M40" s="42" t="n">
        <v>15</v>
      </c>
    </row>
    <row r="41" s="136" customFormat="true" ht="3" hidden="false" customHeight="true" outlineLevel="0" collapsed="false">
      <c r="A41" s="56"/>
      <c r="K41" s="160"/>
      <c r="L41" s="160"/>
      <c r="M41" s="136" t="n">
        <v>3</v>
      </c>
    </row>
    <row r="42" customFormat="false" ht="26.25" hidden="false" customHeight="true" outlineLevel="0" collapsed="false">
      <c r="D42" s="414" t="s">
        <v>801</v>
      </c>
      <c r="E42" s="860" t="str">
        <f aca="false">"Информация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860"/>
      <c r="G42" s="860"/>
      <c r="H42" s="860"/>
      <c r="I42" s="860"/>
      <c r="M42" s="42" t="n">
        <v>25</v>
      </c>
    </row>
    <row r="43" customFormat="false" ht="22.5" hidden="true" customHeight="true" outlineLevel="0" collapsed="false">
      <c r="A43" s="53" t="s">
        <v>80</v>
      </c>
      <c r="B43" s="45" t="n">
        <v>0</v>
      </c>
      <c r="C43" s="416" t="n">
        <v>3</v>
      </c>
      <c r="D43" s="42" t="n">
        <v>6</v>
      </c>
      <c r="E43" s="42" t="n">
        <v>63</v>
      </c>
      <c r="F43" s="42" t="n">
        <v>0</v>
      </c>
      <c r="G43" s="42" t="n">
        <v>35</v>
      </c>
      <c r="H43" s="42" t="n">
        <v>35</v>
      </c>
      <c r="I43" s="42" t="n">
        <v>91</v>
      </c>
      <c r="J43" s="42" t="n">
        <v>68</v>
      </c>
      <c r="K43" s="122" t="n">
        <v>10</v>
      </c>
      <c r="L43" s="122" t="n">
        <v>10</v>
      </c>
      <c r="M43" s="42" t="n">
        <v>23</v>
      </c>
    </row>
  </sheetData>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4">
    <dataValidation allowBlank="true" error="Допускается ввод не более 900 символов!" errorStyle="stop" errorTitle="Ошибка" operator="lessThanOrEqual" showDropDown="false" showErrorMessage="true" showInputMessage="true" sqref="E2 I2 E4 G4 I4 E6 G6 I6 E8 G8 I8 E10 I10 E23 G23 I23:I24 E26 I26 E29 G29 I29 E33 G33 I33 E36 G36 I36 E39 I39"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2"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G10 G39" type="list">
      <formula1>"a"</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2 H23:H24 H2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H33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2" min="1" style="11" width="25.15"/>
    <col collapsed="false" customWidth="true" hidden="true" outlineLevel="0" max="3" min="3" style="340" width="9.15"/>
    <col collapsed="false" customWidth="true" hidden="false" outlineLevel="0" max="4" min="4" style="416" width="3"/>
    <col collapsed="false" customWidth="true" hidden="false" outlineLevel="0" max="5" min="5" style="42" width="6"/>
    <col collapsed="false" customWidth="true" hidden="false" outlineLevel="0" max="6" min="6" style="42" width="46.71"/>
    <col collapsed="false" customWidth="true" hidden="false" outlineLevel="0" max="7" min="7" style="42" width="35"/>
    <col collapsed="false" customWidth="true" hidden="false" outlineLevel="0" max="8" min="8" style="42" width="3"/>
    <col collapsed="false" customWidth="true" hidden="false" outlineLevel="0" max="10" min="9" style="42" width="11"/>
    <col collapsed="false" customWidth="true" hidden="false" outlineLevel="0" max="12" min="11" style="42" width="35"/>
    <col collapsed="false" customWidth="true" hidden="false" outlineLevel="0" max="13" min="13" style="42" width="84"/>
    <col collapsed="false" customWidth="true" hidden="false" outlineLevel="0" max="14" min="14" style="42" width="10"/>
    <col collapsed="false" customWidth="true" hidden="false" outlineLevel="0" max="16" min="15" style="122" width="10"/>
    <col collapsed="false" customWidth="true" hidden="false" outlineLevel="0" max="33" min="17" style="42" width="10"/>
    <col collapsed="false" customWidth="false" hidden="true" outlineLevel="0" max="34" min="34" style="42" width="10.57"/>
  </cols>
  <sheetData>
    <row r="1" s="42" customFormat="true" ht="22.5" hidden="true" customHeight="true" outlineLevel="0" collapsed="false">
      <c r="A1" s="11"/>
      <c r="B1" s="11"/>
      <c r="C1" s="340"/>
      <c r="D1" s="416"/>
      <c r="N1" s="49" t="n">
        <f aca="false">_xlfn.iferror(MATCH("метод экономически обоснованных расходов (затрат)",OFFER_METHOD,0),0)</f>
        <v>0</v>
      </c>
      <c r="O1" s="122"/>
      <c r="P1" s="122"/>
      <c r="T1" s="114"/>
      <c r="AG1" s="724"/>
      <c r="AH1" s="42" t="s">
        <v>14</v>
      </c>
    </row>
    <row r="2" s="42" customFormat="true" ht="18.75" hidden="true" customHeight="true" outlineLevel="0" collapsed="false">
      <c r="A2" s="136" t="s">
        <v>154</v>
      </c>
      <c r="B2" s="136" t="s">
        <v>155</v>
      </c>
      <c r="C2" s="340"/>
      <c r="D2" s="416"/>
      <c r="E2" s="483"/>
      <c r="F2" s="483"/>
      <c r="G2" s="802" t="str">
        <f aca="false">INDEX(PT_DIFFERENTIATION_NTAR,MATCH(B2,PT_DIFFERENTIATION_NTAR_ID,0))</f>
        <v/>
      </c>
      <c r="H2" s="361"/>
      <c r="I2" s="861"/>
      <c r="J2" s="862"/>
      <c r="K2" s="437"/>
      <c r="L2" s="361" t="s">
        <v>303</v>
      </c>
      <c r="M2" s="863"/>
      <c r="N2" s="688"/>
      <c r="O2" s="122"/>
      <c r="P2" s="122"/>
      <c r="AH2" s="42" t="n">
        <v>0</v>
      </c>
    </row>
    <row r="3" s="42" customFormat="true" ht="18.75" hidden="true" customHeight="true" outlineLevel="0" collapsed="false">
      <c r="A3" s="136"/>
      <c r="B3" s="136"/>
      <c r="C3" s="340" t="s">
        <v>1142</v>
      </c>
      <c r="D3" s="416"/>
      <c r="E3" s="483"/>
      <c r="F3" s="483"/>
      <c r="G3" s="802"/>
      <c r="H3" s="606"/>
      <c r="I3" s="170" t="s">
        <v>1143</v>
      </c>
      <c r="J3" s="214"/>
      <c r="K3" s="606"/>
      <c r="L3" s="732"/>
      <c r="M3" s="863"/>
      <c r="N3" s="688"/>
      <c r="O3" s="122"/>
      <c r="P3" s="122"/>
      <c r="AH3" s="42" t="n">
        <v>0</v>
      </c>
    </row>
    <row r="4" s="42" customFormat="true" ht="14.25" hidden="true" customHeight="true" outlineLevel="0" collapsed="false">
      <c r="A4" s="11"/>
      <c r="B4" s="11"/>
      <c r="C4" s="340"/>
      <c r="D4" s="416"/>
      <c r="N4" s="49" t="n">
        <f aca="false">_xlfn.iferror(MATCH("метод экономически обоснованных расходов (затрат)",OFFER_METHOD,0),0)</f>
        <v>0</v>
      </c>
      <c r="O4" s="122"/>
      <c r="P4" s="122"/>
      <c r="T4" s="114"/>
      <c r="AG4" s="724"/>
      <c r="AH4" s="42" t="n">
        <v>0</v>
      </c>
    </row>
    <row r="5" s="42" customFormat="true" ht="18.75" hidden="true" customHeight="true" outlineLevel="0" collapsed="false">
      <c r="A5" s="136" t="s">
        <v>154</v>
      </c>
      <c r="B5" s="136" t="s">
        <v>155</v>
      </c>
      <c r="C5" s="340"/>
      <c r="D5" s="416"/>
      <c r="E5" s="483"/>
      <c r="F5" s="483"/>
      <c r="G5" s="802" t="str">
        <f aca="false">INDEX(PT_DIFFERENTIATION_NTAR,MATCH(B5,PT_DIFFERENTIATION_NTAR_ID,0))</f>
        <v/>
      </c>
      <c r="H5" s="361"/>
      <c r="I5" s="861"/>
      <c r="J5" s="862"/>
      <c r="K5" s="374"/>
      <c r="L5" s="361" t="s">
        <v>303</v>
      </c>
      <c r="M5" s="863"/>
      <c r="N5" s="688"/>
      <c r="O5" s="122"/>
      <c r="P5" s="122"/>
      <c r="AH5" s="42" t="n">
        <v>0</v>
      </c>
    </row>
    <row r="6" s="42" customFormat="true" ht="18.75" hidden="true" customHeight="true" outlineLevel="0" collapsed="false">
      <c r="A6" s="136"/>
      <c r="B6" s="136"/>
      <c r="C6" s="340" t="s">
        <v>1144</v>
      </c>
      <c r="D6" s="416"/>
      <c r="E6" s="483"/>
      <c r="F6" s="483"/>
      <c r="G6" s="802"/>
      <c r="H6" s="606"/>
      <c r="I6" s="170" t="s">
        <v>1143</v>
      </c>
      <c r="J6" s="214"/>
      <c r="K6" s="606"/>
      <c r="L6" s="732"/>
      <c r="M6" s="863"/>
      <c r="N6" s="688"/>
      <c r="O6" s="122"/>
      <c r="P6" s="122"/>
      <c r="AH6" s="42" t="n">
        <v>0</v>
      </c>
    </row>
    <row r="7" s="42" customFormat="true" ht="14.25" hidden="true" customHeight="true" outlineLevel="0" collapsed="false">
      <c r="A7" s="11"/>
      <c r="B7" s="11"/>
      <c r="C7" s="340"/>
      <c r="D7" s="416"/>
      <c r="N7" s="49" t="n">
        <f aca="false">_xlfn.iferror(MATCH("метод экономически обоснованных расходов (затрат)",OFFER_METHOD,0),0)</f>
        <v>0</v>
      </c>
      <c r="O7" s="122"/>
      <c r="P7" s="122"/>
      <c r="T7" s="114"/>
      <c r="AG7" s="724"/>
      <c r="AH7" s="42" t="n">
        <v>0</v>
      </c>
    </row>
    <row r="8" s="42" customFormat="true" ht="56.25" hidden="true" customHeight="true" outlineLevel="0" collapsed="false">
      <c r="A8" s="136"/>
      <c r="B8" s="136"/>
      <c r="C8" s="340"/>
      <c r="D8" s="416"/>
      <c r="E8" s="483"/>
      <c r="F8" s="483"/>
      <c r="G8" s="483"/>
      <c r="H8" s="361"/>
      <c r="I8" s="861"/>
      <c r="J8" s="862"/>
      <c r="K8" s="437"/>
      <c r="L8" s="361" t="s">
        <v>303</v>
      </c>
      <c r="M8" s="863"/>
      <c r="N8" s="688"/>
      <c r="O8" s="122"/>
      <c r="P8" s="122"/>
      <c r="AH8" s="42" t="n">
        <v>0</v>
      </c>
    </row>
    <row r="9" customFormat="false" ht="14.25" hidden="true" customHeight="true" outlineLevel="0" collapsed="false">
      <c r="T9" s="114"/>
      <c r="AG9" s="724"/>
      <c r="AH9" s="42" t="n">
        <v>0</v>
      </c>
    </row>
    <row r="10" s="42" customFormat="true" ht="56.25" hidden="true" customHeight="true" outlineLevel="0" collapsed="false">
      <c r="A10" s="136"/>
      <c r="B10" s="136"/>
      <c r="C10" s="340"/>
      <c r="D10" s="416"/>
      <c r="E10" s="483"/>
      <c r="F10" s="483"/>
      <c r="G10" s="483"/>
      <c r="H10" s="220"/>
      <c r="I10" s="861"/>
      <c r="J10" s="862"/>
      <c r="K10" s="374"/>
      <c r="L10" s="361" t="s">
        <v>303</v>
      </c>
      <c r="M10" s="863"/>
      <c r="N10" s="688"/>
      <c r="O10" s="122"/>
      <c r="P10" s="122"/>
      <c r="AH10" s="42" t="n">
        <v>0</v>
      </c>
    </row>
    <row r="11" customFormat="false" ht="14.25" hidden="true" customHeight="true" outlineLevel="0" collapsed="false">
      <c r="AH11" s="42" t="n">
        <v>0</v>
      </c>
    </row>
    <row r="12" customFormat="false" ht="14.25" hidden="true" customHeight="true" outlineLevel="0" collapsed="false">
      <c r="AH12" s="42" t="n">
        <v>0</v>
      </c>
    </row>
    <row r="13" customFormat="false" ht="6" hidden="false" customHeight="true" outlineLevel="0" collapsed="false">
      <c r="D13" s="470"/>
      <c r="E13" s="83"/>
      <c r="F13" s="83"/>
      <c r="G13" s="83"/>
      <c r="H13" s="83"/>
      <c r="I13" s="83"/>
      <c r="J13" s="83"/>
      <c r="K13" s="83"/>
      <c r="L13" s="727"/>
      <c r="M13" s="727"/>
      <c r="AH13" s="42" t="n">
        <v>6</v>
      </c>
    </row>
    <row r="14" customFormat="false" ht="14.25" hidden="false" customHeight="true" outlineLevel="0" collapsed="false">
      <c r="D14" s="470"/>
      <c r="E14" s="864" t="str">
        <f aca="false">"Форма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864"/>
      <c r="G14" s="864"/>
      <c r="H14" s="864"/>
      <c r="I14" s="864"/>
      <c r="J14" s="864"/>
      <c r="K14" s="864"/>
      <c r="L14" s="864"/>
      <c r="M14" s="217"/>
      <c r="AH14" s="42" t="n">
        <v>14</v>
      </c>
    </row>
    <row r="15" customFormat="false" ht="6" hidden="false" customHeight="true" outlineLevel="0" collapsed="false">
      <c r="D15" s="470"/>
      <c r="E15" s="83"/>
      <c r="F15" s="74"/>
      <c r="G15" s="74"/>
      <c r="H15" s="74"/>
      <c r="I15" s="74"/>
      <c r="J15" s="74"/>
      <c r="K15" s="74"/>
      <c r="L15" s="472"/>
      <c r="M15" s="728"/>
      <c r="AH15" s="42" t="n">
        <v>6</v>
      </c>
    </row>
    <row r="16" customFormat="false" ht="24" hidden="false" customHeight="true" outlineLevel="0" collapsed="false">
      <c r="D16" s="470"/>
      <c r="E16" s="83"/>
      <c r="F16" s="865" t="str">
        <f aca="false">"Дата подачи заявления об "&amp;IF(TITLE_DATE_PR_CHANGE="","утверждении","изменении")&amp;" тарифов"</f>
        <v>Дата подачи заявления об утверждении тарифов</v>
      </c>
      <c r="G16" s="477" t="str">
        <f aca="false">IF(TITLE_DATE_PR_CHANGE="",IF(TITLE_DATE_PR="","",TITLE_DATE_PR),TITLE_DATE_PR_CHANGE)</f>
        <v/>
      </c>
      <c r="H16" s="477"/>
      <c r="I16" s="477"/>
      <c r="J16" s="477"/>
      <c r="K16" s="477"/>
      <c r="L16" s="477"/>
      <c r="M16" s="688"/>
      <c r="AH16" s="42" t="n">
        <v>23</v>
      </c>
    </row>
    <row r="17" customFormat="false" ht="24" hidden="false" customHeight="true" outlineLevel="0" collapsed="false">
      <c r="D17" s="470"/>
      <c r="E17" s="83"/>
      <c r="F17" s="865" t="str">
        <f aca="false">"Номер подачи заявления об "&amp;IF(TITLE_DATE_PR_CHANGE="","утверждении","изменении")&amp;" тарифов"</f>
        <v>Номер подачи заявления об утверждении тарифов</v>
      </c>
      <c r="G17" s="475" t="str">
        <f aca="false">IF(TITLE_NUMBER_PR_CHANGE="",IF(TITLE_NUMBER_PR="","",TITLE_NUMBER_PR),TITLE_NUMBER_PR_CHANGE)</f>
        <v/>
      </c>
      <c r="H17" s="475"/>
      <c r="I17" s="475"/>
      <c r="J17" s="475"/>
      <c r="K17" s="475"/>
      <c r="L17" s="475"/>
      <c r="M17" s="688"/>
      <c r="AH17" s="42" t="n">
        <v>23</v>
      </c>
    </row>
    <row r="18" customFormat="false" ht="14.25" hidden="false" customHeight="true" outlineLevel="0" collapsed="false">
      <c r="D18" s="470"/>
      <c r="E18" s="83"/>
      <c r="F18" s="74"/>
      <c r="G18" s="74"/>
      <c r="H18" s="74"/>
      <c r="I18" s="74"/>
      <c r="J18" s="74"/>
      <c r="K18" s="74"/>
      <c r="L18" s="290"/>
      <c r="M18" s="728"/>
      <c r="AH18" s="42" t="n">
        <v>14</v>
      </c>
    </row>
    <row r="19" customFormat="false" ht="21.75" hidden="false" customHeight="true" outlineLevel="0" collapsed="false">
      <c r="D19" s="470"/>
      <c r="E19" s="395" t="s">
        <v>297</v>
      </c>
      <c r="F19" s="395"/>
      <c r="G19" s="395"/>
      <c r="H19" s="395"/>
      <c r="I19" s="395"/>
      <c r="J19" s="395"/>
      <c r="K19" s="395"/>
      <c r="L19" s="395"/>
      <c r="M19" s="729" t="s">
        <v>298</v>
      </c>
      <c r="AH19" s="42" t="n">
        <v>21</v>
      </c>
    </row>
    <row r="20" customFormat="false" ht="21.75" hidden="false" customHeight="true" outlineLevel="0" collapsed="false">
      <c r="D20" s="470"/>
      <c r="E20" s="395" t="s">
        <v>86</v>
      </c>
      <c r="F20" s="358" t="s">
        <v>121</v>
      </c>
      <c r="G20" s="358" t="s">
        <v>122</v>
      </c>
      <c r="H20" s="395" t="s">
        <v>1145</v>
      </c>
      <c r="I20" s="395"/>
      <c r="J20" s="395"/>
      <c r="K20" s="358" t="s">
        <v>300</v>
      </c>
      <c r="L20" s="358" t="s">
        <v>387</v>
      </c>
      <c r="M20" s="729"/>
      <c r="AH20" s="42" t="n">
        <v>21</v>
      </c>
    </row>
    <row r="21" customFormat="false" ht="21.75" hidden="false" customHeight="true" outlineLevel="0" collapsed="false">
      <c r="D21" s="470"/>
      <c r="E21" s="395"/>
      <c r="F21" s="358"/>
      <c r="G21" s="358"/>
      <c r="H21" s="220" t="s">
        <v>1146</v>
      </c>
      <c r="I21" s="220"/>
      <c r="J21" s="220" t="s">
        <v>1147</v>
      </c>
      <c r="K21" s="358"/>
      <c r="L21" s="358"/>
      <c r="M21" s="729"/>
      <c r="AH21" s="42" t="n">
        <v>21</v>
      </c>
    </row>
    <row r="22" customFormat="false" ht="12.75" hidden="false" customHeight="true" outlineLevel="0" collapsed="false">
      <c r="D22" s="470"/>
      <c r="E22" s="366"/>
      <c r="F22" s="366"/>
      <c r="G22" s="366"/>
      <c r="H22" s="866"/>
      <c r="I22" s="866"/>
      <c r="J22" s="366"/>
      <c r="K22" s="366"/>
      <c r="L22" s="366"/>
      <c r="M22" s="366"/>
      <c r="AH22" s="42" t="n">
        <v>12</v>
      </c>
    </row>
    <row r="23" customFormat="false" ht="19.5" hidden="false" customHeight="true" outlineLevel="0" collapsed="false">
      <c r="A23" s="136"/>
      <c r="B23" s="136"/>
      <c r="D23" s="470"/>
      <c r="E23" s="867" t="s">
        <v>107</v>
      </c>
      <c r="F23" s="868" t="str">
        <f aca="false">"Предлагаемый метод регулирования"&amp;IF(TEMPLATE_SPHERE="HEAT"," в сфере "&amp;TEMPLATE_SPHERE_RUS,"")</f>
        <v>Предлагаемый метод регулирования</v>
      </c>
      <c r="G23" s="868"/>
      <c r="H23" s="868"/>
      <c r="I23" s="868"/>
      <c r="J23" s="868"/>
      <c r="K23" s="868" t="s">
        <v>303</v>
      </c>
      <c r="L23" s="868"/>
      <c r="M23" s="281"/>
      <c r="N23" s="688"/>
      <c r="AH23" s="42" t="n">
        <v>19</v>
      </c>
    </row>
    <row r="24" customFormat="false" ht="60.75" hidden="true" customHeight="true" outlineLevel="0" collapsed="false">
      <c r="A24" s="136" t="s">
        <v>154</v>
      </c>
      <c r="B24" s="136" t="s">
        <v>155</v>
      </c>
      <c r="D24" s="869"/>
      <c r="E24" s="293"/>
      <c r="F24" s="870" t="str">
        <f aca="false">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802" t="str">
        <f aca="false">INDEX(PT_DIFFERENTIATION_NTAR,MATCH(B24,PT_DIFFERENTIATION_NTAR_ID,0))</f>
        <v/>
      </c>
      <c r="H24" s="361"/>
      <c r="I24" s="861"/>
      <c r="J24" s="862"/>
      <c r="K24" s="437"/>
      <c r="L24" s="361" t="s">
        <v>303</v>
      </c>
      <c r="M24" s="871"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88"/>
      <c r="AH24" s="42" t="n">
        <v>0</v>
      </c>
    </row>
    <row r="25" s="42" customFormat="true" ht="18.75" hidden="true" customHeight="true" outlineLevel="0" collapsed="false">
      <c r="A25" s="136"/>
      <c r="B25" s="136"/>
      <c r="C25" s="340" t="s">
        <v>1142</v>
      </c>
      <c r="D25" s="869"/>
      <c r="E25" s="293"/>
      <c r="F25" s="870"/>
      <c r="G25" s="802"/>
      <c r="H25" s="606"/>
      <c r="I25" s="170" t="s">
        <v>1143</v>
      </c>
      <c r="J25" s="214"/>
      <c r="K25" s="606"/>
      <c r="L25" s="732"/>
      <c r="M25" s="871"/>
      <c r="N25" s="688"/>
      <c r="O25" s="122"/>
      <c r="P25" s="122"/>
      <c r="AH25" s="42" t="n">
        <v>0</v>
      </c>
    </row>
    <row r="26" customFormat="false" ht="0.75" hidden="true" customHeight="true" outlineLevel="0" collapsed="false">
      <c r="A26" s="136"/>
      <c r="B26" s="136"/>
      <c r="C26" s="340" t="s">
        <v>1148</v>
      </c>
      <c r="D26" s="869"/>
      <c r="E26" s="293"/>
      <c r="F26" s="870"/>
      <c r="G26" s="872"/>
      <c r="H26" s="606"/>
      <c r="I26" s="170"/>
      <c r="J26" s="214"/>
      <c r="K26" s="606"/>
      <c r="L26" s="732"/>
      <c r="M26" s="871"/>
      <c r="N26" s="688"/>
      <c r="AH26" s="42" t="n">
        <v>0</v>
      </c>
    </row>
    <row r="27" s="42" customFormat="true" ht="45" hidden="true" customHeight="true" outlineLevel="0" collapsed="false">
      <c r="A27" s="136" t="s">
        <v>159</v>
      </c>
      <c r="B27" s="136" t="s">
        <v>160</v>
      </c>
      <c r="C27" s="340"/>
      <c r="D27" s="873"/>
      <c r="E27" s="874"/>
      <c r="F27" s="875" t="str">
        <f aca="false">INDEX(PT_DIFFERENTIATION_VTAR,MATCH(A27,PT_DIFFERENTIATION_VTAR_ID,0))</f>
        <v/>
      </c>
      <c r="G27" s="802" t="str">
        <f aca="false">INDEX(PT_DIFFERENTIATION_NTAR,MATCH(B27,PT_DIFFERENTIATION_NTAR_ID,0))</f>
        <v/>
      </c>
      <c r="H27" s="361"/>
      <c r="I27" s="861"/>
      <c r="J27" s="862"/>
      <c r="K27" s="437"/>
      <c r="L27" s="361" t="s">
        <v>303</v>
      </c>
      <c r="M27" s="871"/>
      <c r="N27" s="688"/>
      <c r="O27" s="122"/>
      <c r="P27" s="122"/>
      <c r="AH27" s="42" t="n">
        <v>0</v>
      </c>
    </row>
    <row r="28" s="42" customFormat="true" ht="18.75" hidden="true" customHeight="true" outlineLevel="0" collapsed="false">
      <c r="A28" s="136"/>
      <c r="B28" s="136"/>
      <c r="C28" s="340" t="s">
        <v>1142</v>
      </c>
      <c r="D28" s="873"/>
      <c r="E28" s="874"/>
      <c r="F28" s="875"/>
      <c r="G28" s="802"/>
      <c r="H28" s="606"/>
      <c r="I28" s="170" t="s">
        <v>1143</v>
      </c>
      <c r="J28" s="214"/>
      <c r="K28" s="606"/>
      <c r="L28" s="732"/>
      <c r="M28" s="871"/>
      <c r="N28" s="688"/>
      <c r="O28" s="122"/>
      <c r="P28" s="122"/>
      <c r="AH28" s="42" t="n">
        <v>0</v>
      </c>
    </row>
    <row r="29" s="42" customFormat="true" ht="0.75" hidden="true" customHeight="true" outlineLevel="0" collapsed="false">
      <c r="A29" s="136"/>
      <c r="B29" s="136"/>
      <c r="C29" s="340" t="s">
        <v>1148</v>
      </c>
      <c r="D29" s="873"/>
      <c r="E29" s="874"/>
      <c r="F29" s="875"/>
      <c r="G29" s="872"/>
      <c r="H29" s="606"/>
      <c r="I29" s="170"/>
      <c r="J29" s="214"/>
      <c r="K29" s="606"/>
      <c r="L29" s="732"/>
      <c r="M29" s="871"/>
      <c r="N29" s="688"/>
      <c r="O29" s="122"/>
      <c r="P29" s="122"/>
      <c r="AH29" s="42" t="n">
        <v>0</v>
      </c>
    </row>
    <row r="30" s="42" customFormat="true" ht="45" hidden="true" customHeight="true" outlineLevel="0" collapsed="false">
      <c r="A30" s="136" t="s">
        <v>166</v>
      </c>
      <c r="B30" s="136" t="s">
        <v>167</v>
      </c>
      <c r="C30" s="340"/>
      <c r="D30" s="873"/>
      <c r="E30" s="293"/>
      <c r="F30" s="692" t="str">
        <f aca="false">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802" t="str">
        <f aca="false">INDEX(PT_DIFFERENTIATION_NTAR,MATCH(B30,PT_DIFFERENTIATION_NTAR_ID,0))</f>
        <v/>
      </c>
      <c r="H30" s="361"/>
      <c r="I30" s="861"/>
      <c r="J30" s="862"/>
      <c r="K30" s="437"/>
      <c r="L30" s="361" t="s">
        <v>303</v>
      </c>
      <c r="M30" s="871"/>
      <c r="N30" s="688"/>
      <c r="O30" s="122"/>
      <c r="P30" s="122"/>
      <c r="AH30" s="42" t="n">
        <v>0</v>
      </c>
    </row>
    <row r="31" s="42" customFormat="true" ht="18.75" hidden="true" customHeight="true" outlineLevel="0" collapsed="false">
      <c r="A31" s="136"/>
      <c r="B31" s="136"/>
      <c r="C31" s="340" t="s">
        <v>1142</v>
      </c>
      <c r="D31" s="873"/>
      <c r="E31" s="293"/>
      <c r="F31" s="692"/>
      <c r="G31" s="802"/>
      <c r="H31" s="606"/>
      <c r="I31" s="170" t="s">
        <v>1143</v>
      </c>
      <c r="J31" s="214"/>
      <c r="K31" s="606"/>
      <c r="L31" s="732"/>
      <c r="M31" s="871"/>
      <c r="N31" s="688"/>
      <c r="O31" s="122"/>
      <c r="P31" s="122"/>
      <c r="AH31" s="42" t="n">
        <v>0</v>
      </c>
    </row>
    <row r="32" s="42" customFormat="true" ht="0.75" hidden="true" customHeight="true" outlineLevel="0" collapsed="false">
      <c r="A32" s="136"/>
      <c r="B32" s="136"/>
      <c r="C32" s="340" t="s">
        <v>1148</v>
      </c>
      <c r="D32" s="873"/>
      <c r="E32" s="293"/>
      <c r="F32" s="692"/>
      <c r="G32" s="872"/>
      <c r="H32" s="606"/>
      <c r="I32" s="170"/>
      <c r="J32" s="214"/>
      <c r="K32" s="606"/>
      <c r="L32" s="732"/>
      <c r="M32" s="871"/>
      <c r="N32" s="688"/>
      <c r="O32" s="122"/>
      <c r="P32" s="122"/>
      <c r="AH32" s="42" t="n">
        <v>0</v>
      </c>
    </row>
    <row r="33" s="42" customFormat="true" ht="45" hidden="true" customHeight="true" outlineLevel="0" collapsed="false">
      <c r="A33" s="136" t="s">
        <v>172</v>
      </c>
      <c r="B33" s="136" t="s">
        <v>173</v>
      </c>
      <c r="C33" s="340"/>
      <c r="D33" s="873"/>
      <c r="E33" s="293"/>
      <c r="F33" s="692" t="str">
        <f aca="false">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802" t="str">
        <f aca="false">INDEX(PT_DIFFERENTIATION_NTAR,MATCH(B33,PT_DIFFERENTIATION_NTAR_ID,0))</f>
        <v/>
      </c>
      <c r="H33" s="361"/>
      <c r="I33" s="861"/>
      <c r="J33" s="862"/>
      <c r="K33" s="437"/>
      <c r="L33" s="361" t="s">
        <v>303</v>
      </c>
      <c r="M33" s="871"/>
      <c r="N33" s="688"/>
      <c r="O33" s="122"/>
      <c r="P33" s="122"/>
      <c r="AH33" s="42" t="n">
        <v>0</v>
      </c>
    </row>
    <row r="34" s="42" customFormat="true" ht="18.75" hidden="true" customHeight="true" outlineLevel="0" collapsed="false">
      <c r="A34" s="136"/>
      <c r="B34" s="136"/>
      <c r="C34" s="340" t="s">
        <v>1142</v>
      </c>
      <c r="D34" s="873"/>
      <c r="E34" s="293"/>
      <c r="F34" s="692"/>
      <c r="G34" s="802"/>
      <c r="H34" s="606"/>
      <c r="I34" s="170" t="s">
        <v>1143</v>
      </c>
      <c r="J34" s="214"/>
      <c r="K34" s="606"/>
      <c r="L34" s="732"/>
      <c r="M34" s="871"/>
      <c r="N34" s="688"/>
      <c r="O34" s="122"/>
      <c r="P34" s="122"/>
      <c r="AH34" s="42" t="n">
        <v>0</v>
      </c>
    </row>
    <row r="35" s="42" customFormat="true" ht="0.75" hidden="true" customHeight="true" outlineLevel="0" collapsed="false">
      <c r="A35" s="136"/>
      <c r="B35" s="136"/>
      <c r="C35" s="340" t="s">
        <v>1148</v>
      </c>
      <c r="D35" s="873"/>
      <c r="E35" s="293"/>
      <c r="F35" s="692"/>
      <c r="G35" s="872"/>
      <c r="H35" s="606"/>
      <c r="I35" s="170"/>
      <c r="J35" s="214"/>
      <c r="K35" s="606"/>
      <c r="L35" s="732"/>
      <c r="M35" s="871"/>
      <c r="N35" s="688"/>
      <c r="O35" s="122"/>
      <c r="P35" s="122"/>
      <c r="AH35" s="42" t="n">
        <v>0</v>
      </c>
    </row>
    <row r="36" s="42" customFormat="true" ht="18.75" hidden="true" customHeight="true" outlineLevel="0" collapsed="false">
      <c r="A36" s="136" t="s">
        <v>178</v>
      </c>
      <c r="B36" s="136" t="s">
        <v>179</v>
      </c>
      <c r="C36" s="340"/>
      <c r="D36" s="873"/>
      <c r="E36" s="293"/>
      <c r="F36" s="692" t="str">
        <f aca="false">INDEX(PT_DIFFERENTIATION_VTAR,MATCH(A36,PT_DIFFERENTIATION_VTAR_ID,0))</f>
        <v>Тарифы на услуги по передаче тепловой энергии</v>
      </c>
      <c r="G36" s="802" t="str">
        <f aca="false">INDEX(PT_DIFFERENTIATION_NTAR,MATCH(B36,PT_DIFFERENTIATION_NTAR_ID,0))</f>
        <v/>
      </c>
      <c r="H36" s="361"/>
      <c r="I36" s="861"/>
      <c r="J36" s="862"/>
      <c r="K36" s="437"/>
      <c r="L36" s="361" t="s">
        <v>303</v>
      </c>
      <c r="M36" s="871"/>
      <c r="N36" s="688"/>
      <c r="O36" s="122"/>
      <c r="P36" s="122"/>
      <c r="AH36" s="42" t="n">
        <v>0</v>
      </c>
    </row>
    <row r="37" s="42" customFormat="true" ht="18.75" hidden="true" customHeight="true" outlineLevel="0" collapsed="false">
      <c r="A37" s="136"/>
      <c r="B37" s="136"/>
      <c r="C37" s="340" t="s">
        <v>1142</v>
      </c>
      <c r="D37" s="873"/>
      <c r="E37" s="293"/>
      <c r="F37" s="692"/>
      <c r="G37" s="802"/>
      <c r="H37" s="606"/>
      <c r="I37" s="170" t="s">
        <v>1143</v>
      </c>
      <c r="J37" s="214"/>
      <c r="K37" s="606"/>
      <c r="L37" s="732"/>
      <c r="M37" s="871"/>
      <c r="N37" s="688"/>
      <c r="O37" s="122"/>
      <c r="P37" s="122"/>
      <c r="AH37" s="42" t="n">
        <v>0</v>
      </c>
    </row>
    <row r="38" s="42" customFormat="true" ht="0.75" hidden="true" customHeight="true" outlineLevel="0" collapsed="false">
      <c r="A38" s="136"/>
      <c r="B38" s="136"/>
      <c r="C38" s="340" t="s">
        <v>1148</v>
      </c>
      <c r="D38" s="873"/>
      <c r="E38" s="293"/>
      <c r="F38" s="692"/>
      <c r="G38" s="872"/>
      <c r="H38" s="606"/>
      <c r="I38" s="170"/>
      <c r="J38" s="214"/>
      <c r="K38" s="606"/>
      <c r="L38" s="732"/>
      <c r="M38" s="871"/>
      <c r="N38" s="688"/>
      <c r="O38" s="122"/>
      <c r="P38" s="122"/>
      <c r="AH38" s="42" t="n">
        <v>0</v>
      </c>
    </row>
    <row r="39" s="42" customFormat="true" ht="18.75" hidden="true" customHeight="true" outlineLevel="0" collapsed="false">
      <c r="A39" s="136" t="s">
        <v>184</v>
      </c>
      <c r="B39" s="136" t="s">
        <v>185</v>
      </c>
      <c r="C39" s="340"/>
      <c r="D39" s="873"/>
      <c r="E39" s="293"/>
      <c r="F39" s="692" t="str">
        <f aca="false">INDEX(PT_DIFFERENTIATION_VTAR,MATCH(A39,PT_DIFFERENTIATION_VTAR_ID,0))</f>
        <v>Тарифы на услуги по передаче теплоносителя</v>
      </c>
      <c r="G39" s="802" t="str">
        <f aca="false">INDEX(PT_DIFFERENTIATION_NTAR,MATCH(B39,PT_DIFFERENTIATION_NTAR_ID,0))</f>
        <v/>
      </c>
      <c r="H39" s="361"/>
      <c r="I39" s="861"/>
      <c r="J39" s="862"/>
      <c r="K39" s="437"/>
      <c r="L39" s="361" t="s">
        <v>303</v>
      </c>
      <c r="M39" s="871"/>
      <c r="N39" s="688"/>
      <c r="O39" s="122"/>
      <c r="P39" s="122"/>
      <c r="AH39" s="42" t="n">
        <v>0</v>
      </c>
    </row>
    <row r="40" s="42" customFormat="true" ht="18.75" hidden="true" customHeight="true" outlineLevel="0" collapsed="false">
      <c r="A40" s="136"/>
      <c r="B40" s="136"/>
      <c r="C40" s="340" t="s">
        <v>1142</v>
      </c>
      <c r="D40" s="873"/>
      <c r="E40" s="293"/>
      <c r="F40" s="692"/>
      <c r="G40" s="802"/>
      <c r="H40" s="606"/>
      <c r="I40" s="170" t="s">
        <v>1143</v>
      </c>
      <c r="J40" s="214"/>
      <c r="K40" s="606"/>
      <c r="L40" s="732"/>
      <c r="M40" s="871"/>
      <c r="N40" s="688"/>
      <c r="O40" s="122"/>
      <c r="P40" s="122"/>
      <c r="AH40" s="42" t="n">
        <v>0</v>
      </c>
    </row>
    <row r="41" s="42" customFormat="true" ht="0.75" hidden="true" customHeight="true" outlineLevel="0" collapsed="false">
      <c r="A41" s="136"/>
      <c r="B41" s="136"/>
      <c r="C41" s="340" t="s">
        <v>1148</v>
      </c>
      <c r="D41" s="873"/>
      <c r="E41" s="293"/>
      <c r="F41" s="692"/>
      <c r="G41" s="872"/>
      <c r="H41" s="606"/>
      <c r="I41" s="170"/>
      <c r="J41" s="214"/>
      <c r="K41" s="606"/>
      <c r="L41" s="732"/>
      <c r="M41" s="871"/>
      <c r="N41" s="688"/>
      <c r="O41" s="122"/>
      <c r="P41" s="122"/>
      <c r="AH41" s="42" t="n">
        <v>0</v>
      </c>
    </row>
    <row r="42" s="42" customFormat="true" ht="18.75" hidden="true" customHeight="true" outlineLevel="0" collapsed="false">
      <c r="A42" s="136" t="s">
        <v>190</v>
      </c>
      <c r="B42" s="136" t="s">
        <v>191</v>
      </c>
      <c r="C42" s="340"/>
      <c r="D42" s="873"/>
      <c r="E42" s="293"/>
      <c r="F42" s="692" t="str">
        <f aca="false">INDEX(PT_DIFFERENTIATION_VTAR,MATCH(A42,PT_DIFFERENTIATION_VTAR_ID,0))</f>
        <v>Плата за услуги по поддержанию резервной тепловой мощности при отсутствии потребления тепловой энергии</v>
      </c>
      <c r="G42" s="802" t="str">
        <f aca="false">INDEX(PT_DIFFERENTIATION_NTAR,MATCH(B42,PT_DIFFERENTIATION_NTAR_ID,0))</f>
        <v/>
      </c>
      <c r="H42" s="361"/>
      <c r="I42" s="861"/>
      <c r="J42" s="862"/>
      <c r="K42" s="437"/>
      <c r="L42" s="361" t="s">
        <v>303</v>
      </c>
      <c r="M42" s="871"/>
      <c r="N42" s="688"/>
      <c r="O42" s="122"/>
      <c r="P42" s="122"/>
      <c r="AH42" s="42" t="n">
        <v>0</v>
      </c>
    </row>
    <row r="43" s="42" customFormat="true" ht="18.75" hidden="true" customHeight="true" outlineLevel="0" collapsed="false">
      <c r="A43" s="136"/>
      <c r="B43" s="136"/>
      <c r="C43" s="340" t="s">
        <v>1142</v>
      </c>
      <c r="D43" s="873"/>
      <c r="E43" s="293"/>
      <c r="F43" s="692"/>
      <c r="G43" s="802"/>
      <c r="H43" s="606"/>
      <c r="I43" s="170" t="s">
        <v>1143</v>
      </c>
      <c r="J43" s="214"/>
      <c r="K43" s="606"/>
      <c r="L43" s="732"/>
      <c r="M43" s="871"/>
      <c r="N43" s="688"/>
      <c r="O43" s="122"/>
      <c r="P43" s="122"/>
      <c r="AH43" s="42" t="n">
        <v>0</v>
      </c>
    </row>
    <row r="44" s="42" customFormat="true" ht="0.75" hidden="true" customHeight="true" outlineLevel="0" collapsed="false">
      <c r="A44" s="136"/>
      <c r="B44" s="136"/>
      <c r="C44" s="340" t="s">
        <v>1148</v>
      </c>
      <c r="D44" s="873"/>
      <c r="E44" s="293"/>
      <c r="F44" s="692"/>
      <c r="G44" s="872"/>
      <c r="H44" s="606"/>
      <c r="I44" s="170"/>
      <c r="J44" s="214"/>
      <c r="K44" s="606"/>
      <c r="L44" s="732"/>
      <c r="M44" s="871"/>
      <c r="N44" s="688"/>
      <c r="O44" s="122"/>
      <c r="P44" s="122"/>
      <c r="AH44" s="42" t="n">
        <v>0</v>
      </c>
    </row>
    <row r="45" s="42" customFormat="true" ht="18.75" hidden="true" customHeight="true" outlineLevel="0" collapsed="false">
      <c r="A45" s="136" t="s">
        <v>196</v>
      </c>
      <c r="B45" s="136" t="s">
        <v>197</v>
      </c>
      <c r="C45" s="340"/>
      <c r="D45" s="873"/>
      <c r="E45" s="293"/>
      <c r="F45" s="692" t="str">
        <f aca="false">INDEX(PT_DIFFERENTIATION_VTAR,MATCH(A45,PT_DIFFERENTIATION_VTAR_ID,0))</f>
        <v>Плата за подключение (технологическое присоединение) к системе теплоснабжения</v>
      </c>
      <c r="G45" s="802" t="str">
        <f aca="false">INDEX(PT_DIFFERENTIATION_NTAR,MATCH(B45,PT_DIFFERENTIATION_NTAR_ID,0))</f>
        <v/>
      </c>
      <c r="H45" s="361"/>
      <c r="I45" s="861"/>
      <c r="J45" s="862"/>
      <c r="K45" s="437"/>
      <c r="L45" s="361" t="s">
        <v>303</v>
      </c>
      <c r="M45" s="871"/>
      <c r="N45" s="688"/>
      <c r="O45" s="122"/>
      <c r="P45" s="122"/>
      <c r="AH45" s="42" t="n">
        <v>0</v>
      </c>
    </row>
    <row r="46" s="42" customFormat="true" ht="18.75" hidden="true" customHeight="true" outlineLevel="0" collapsed="false">
      <c r="A46" s="136"/>
      <c r="B46" s="136"/>
      <c r="C46" s="340" t="s">
        <v>1142</v>
      </c>
      <c r="D46" s="873"/>
      <c r="E46" s="293"/>
      <c r="F46" s="692"/>
      <c r="G46" s="802"/>
      <c r="H46" s="606"/>
      <c r="I46" s="170" t="s">
        <v>1143</v>
      </c>
      <c r="J46" s="214"/>
      <c r="K46" s="606"/>
      <c r="L46" s="732"/>
      <c r="M46" s="871"/>
      <c r="N46" s="688"/>
      <c r="O46" s="122"/>
      <c r="P46" s="122"/>
      <c r="AH46" s="42" t="n">
        <v>0</v>
      </c>
    </row>
    <row r="47" s="42" customFormat="true" ht="0.75" hidden="true" customHeight="true" outlineLevel="0" collapsed="false">
      <c r="A47" s="136"/>
      <c r="B47" s="136"/>
      <c r="C47" s="340" t="s">
        <v>1148</v>
      </c>
      <c r="D47" s="873"/>
      <c r="E47" s="293"/>
      <c r="F47" s="692"/>
      <c r="G47" s="872"/>
      <c r="H47" s="606"/>
      <c r="I47" s="170"/>
      <c r="J47" s="214"/>
      <c r="K47" s="606"/>
      <c r="L47" s="732"/>
      <c r="M47" s="871"/>
      <c r="N47" s="688"/>
      <c r="O47" s="122"/>
      <c r="P47" s="122"/>
      <c r="AH47" s="42" t="n">
        <v>0</v>
      </c>
    </row>
    <row r="48" s="42" customFormat="true" ht="18.75" hidden="true" customHeight="true" outlineLevel="0" collapsed="false">
      <c r="A48" s="136" t="s">
        <v>202</v>
      </c>
      <c r="B48" s="136" t="s">
        <v>203</v>
      </c>
      <c r="C48" s="340"/>
      <c r="D48" s="873"/>
      <c r="E48" s="293"/>
      <c r="F48" s="692" t="str">
        <f aca="false">INDEX(PT_DIFFERENTIATION_VTAR,MATCH(A48,PT_DIFFERENTIATION_VTAR_ID,0))</f>
        <v>Плата за подключение (технологическое присоединение) к системе теплоснабжения (индивидуальная)</v>
      </c>
      <c r="G48" s="802" t="str">
        <f aca="false">INDEX(PT_DIFFERENTIATION_NTAR,MATCH(B48,PT_DIFFERENTIATION_NTAR_ID,0))</f>
        <v/>
      </c>
      <c r="H48" s="361"/>
      <c r="I48" s="861"/>
      <c r="J48" s="862"/>
      <c r="K48" s="437"/>
      <c r="L48" s="361" t="s">
        <v>303</v>
      </c>
      <c r="M48" s="871"/>
      <c r="N48" s="688"/>
      <c r="O48" s="122"/>
      <c r="P48" s="122"/>
      <c r="AH48" s="42" t="n">
        <v>0</v>
      </c>
    </row>
    <row r="49" s="42" customFormat="true" ht="18.75" hidden="true" customHeight="true" outlineLevel="0" collapsed="false">
      <c r="A49" s="136"/>
      <c r="B49" s="136"/>
      <c r="C49" s="340" t="s">
        <v>1142</v>
      </c>
      <c r="D49" s="873"/>
      <c r="E49" s="293"/>
      <c r="F49" s="692"/>
      <c r="G49" s="802"/>
      <c r="H49" s="606"/>
      <c r="I49" s="170" t="s">
        <v>1143</v>
      </c>
      <c r="J49" s="214"/>
      <c r="K49" s="606"/>
      <c r="L49" s="732"/>
      <c r="M49" s="871"/>
      <c r="N49" s="688"/>
      <c r="O49" s="122"/>
      <c r="P49" s="122"/>
      <c r="AH49" s="42" t="n">
        <v>0</v>
      </c>
    </row>
    <row r="50" s="42" customFormat="true" ht="0.75" hidden="true" customHeight="true" outlineLevel="0" collapsed="false">
      <c r="A50" s="136"/>
      <c r="B50" s="136"/>
      <c r="C50" s="340" t="s">
        <v>1148</v>
      </c>
      <c r="D50" s="873"/>
      <c r="E50" s="293"/>
      <c r="F50" s="692"/>
      <c r="G50" s="872"/>
      <c r="H50" s="606"/>
      <c r="I50" s="170"/>
      <c r="J50" s="214"/>
      <c r="K50" s="606"/>
      <c r="L50" s="732"/>
      <c r="M50" s="871"/>
      <c r="N50" s="688"/>
      <c r="O50" s="122"/>
      <c r="P50" s="122"/>
      <c r="AH50" s="42" t="n">
        <v>0</v>
      </c>
    </row>
    <row r="51" s="42" customFormat="true" ht="18.75" hidden="true" customHeight="true" outlineLevel="0" collapsed="false">
      <c r="A51" s="136" t="s">
        <v>222</v>
      </c>
      <c r="B51" s="136" t="s">
        <v>223</v>
      </c>
      <c r="C51" s="340"/>
      <c r="D51" s="873"/>
      <c r="E51" s="293"/>
      <c r="F51" s="692" t="str">
        <f aca="false">INDEX(PT_DIFFERENTIATION_VTAR,MATCH(A51,PT_DIFFERENTIATION_VTAR_ID,0))</f>
        <v>Тариф на питьевую воду (питьевое водоснабжение)</v>
      </c>
      <c r="G51" s="802" t="str">
        <f aca="false">INDEX(PT_DIFFERENTIATION_NTAR,MATCH(B51,PT_DIFFERENTIATION_NTAR_ID,0))</f>
        <v/>
      </c>
      <c r="H51" s="361"/>
      <c r="I51" s="861"/>
      <c r="J51" s="862"/>
      <c r="K51" s="437"/>
      <c r="L51" s="361" t="s">
        <v>303</v>
      </c>
      <c r="M51" s="871"/>
      <c r="N51" s="688"/>
      <c r="O51" s="122"/>
      <c r="P51" s="122"/>
      <c r="AH51" s="42" t="n">
        <v>0</v>
      </c>
    </row>
    <row r="52" s="42" customFormat="true" ht="18.75" hidden="true" customHeight="true" outlineLevel="0" collapsed="false">
      <c r="A52" s="136"/>
      <c r="B52" s="136"/>
      <c r="C52" s="340" t="s">
        <v>1142</v>
      </c>
      <c r="D52" s="873"/>
      <c r="E52" s="293"/>
      <c r="F52" s="692"/>
      <c r="G52" s="802"/>
      <c r="H52" s="606"/>
      <c r="I52" s="170" t="s">
        <v>1143</v>
      </c>
      <c r="J52" s="214"/>
      <c r="K52" s="606"/>
      <c r="L52" s="732"/>
      <c r="M52" s="871"/>
      <c r="N52" s="688"/>
      <c r="O52" s="122"/>
      <c r="P52" s="122"/>
      <c r="AH52" s="42" t="n">
        <v>0</v>
      </c>
    </row>
    <row r="53" s="42" customFormat="true" ht="0.75" hidden="true" customHeight="true" outlineLevel="0" collapsed="false">
      <c r="A53" s="136"/>
      <c r="B53" s="136"/>
      <c r="C53" s="340" t="s">
        <v>1148</v>
      </c>
      <c r="D53" s="873"/>
      <c r="E53" s="293"/>
      <c r="F53" s="692"/>
      <c r="G53" s="872"/>
      <c r="H53" s="606"/>
      <c r="I53" s="170"/>
      <c r="J53" s="214"/>
      <c r="K53" s="606"/>
      <c r="L53" s="732"/>
      <c r="M53" s="871"/>
      <c r="N53" s="688"/>
      <c r="O53" s="122"/>
      <c r="P53" s="122"/>
      <c r="AH53" s="42" t="n">
        <v>0</v>
      </c>
    </row>
    <row r="54" s="42" customFormat="true" ht="18.75" hidden="true" customHeight="true" outlineLevel="0" collapsed="false">
      <c r="A54" s="136" t="s">
        <v>227</v>
      </c>
      <c r="B54" s="136" t="s">
        <v>228</v>
      </c>
      <c r="C54" s="340"/>
      <c r="D54" s="873"/>
      <c r="E54" s="293"/>
      <c r="F54" s="692" t="str">
        <f aca="false">INDEX(PT_DIFFERENTIATION_VTAR,MATCH(A54,PT_DIFFERENTIATION_VTAR_ID,0))</f>
        <v>Тариф на техническую воду</v>
      </c>
      <c r="G54" s="802" t="str">
        <f aca="false">INDEX(PT_DIFFERENTIATION_NTAR,MATCH(B54,PT_DIFFERENTIATION_NTAR_ID,0))</f>
        <v/>
      </c>
      <c r="H54" s="361"/>
      <c r="I54" s="861"/>
      <c r="J54" s="862"/>
      <c r="K54" s="437"/>
      <c r="L54" s="361" t="s">
        <v>303</v>
      </c>
      <c r="M54" s="871"/>
      <c r="N54" s="688"/>
      <c r="O54" s="122"/>
      <c r="P54" s="122"/>
      <c r="AH54" s="42" t="n">
        <v>0</v>
      </c>
    </row>
    <row r="55" s="42" customFormat="true" ht="18.75" hidden="true" customHeight="true" outlineLevel="0" collapsed="false">
      <c r="A55" s="136"/>
      <c r="B55" s="136"/>
      <c r="C55" s="340" t="s">
        <v>1142</v>
      </c>
      <c r="D55" s="873"/>
      <c r="E55" s="293"/>
      <c r="F55" s="692"/>
      <c r="G55" s="802"/>
      <c r="H55" s="606"/>
      <c r="I55" s="170" t="s">
        <v>1143</v>
      </c>
      <c r="J55" s="214"/>
      <c r="K55" s="606"/>
      <c r="L55" s="732"/>
      <c r="M55" s="871"/>
      <c r="N55" s="688"/>
      <c r="O55" s="122"/>
      <c r="P55" s="122"/>
      <c r="AH55" s="42" t="n">
        <v>0</v>
      </c>
    </row>
    <row r="56" s="42" customFormat="true" ht="0.75" hidden="true" customHeight="true" outlineLevel="0" collapsed="false">
      <c r="A56" s="136"/>
      <c r="B56" s="136"/>
      <c r="C56" s="340" t="s">
        <v>1148</v>
      </c>
      <c r="D56" s="873"/>
      <c r="E56" s="293"/>
      <c r="F56" s="692"/>
      <c r="G56" s="872"/>
      <c r="H56" s="606"/>
      <c r="I56" s="170"/>
      <c r="J56" s="214"/>
      <c r="K56" s="606"/>
      <c r="L56" s="732"/>
      <c r="M56" s="871"/>
      <c r="N56" s="688"/>
      <c r="O56" s="122"/>
      <c r="P56" s="122"/>
      <c r="AH56" s="42" t="n">
        <v>0</v>
      </c>
    </row>
    <row r="57" s="42" customFormat="true" ht="18.75" hidden="true" customHeight="true" outlineLevel="0" collapsed="false">
      <c r="A57" s="136" t="s">
        <v>232</v>
      </c>
      <c r="B57" s="136" t="s">
        <v>233</v>
      </c>
      <c r="C57" s="340"/>
      <c r="D57" s="873"/>
      <c r="E57" s="293"/>
      <c r="F57" s="692" t="str">
        <f aca="false">INDEX(PT_DIFFERENTIATION_VTAR,MATCH(A57,PT_DIFFERENTIATION_VTAR_ID,0))</f>
        <v>Тариф на транспортировку воды</v>
      </c>
      <c r="G57" s="802" t="str">
        <f aca="false">INDEX(PT_DIFFERENTIATION_NTAR,MATCH(B57,PT_DIFFERENTIATION_NTAR_ID,0))</f>
        <v/>
      </c>
      <c r="H57" s="361"/>
      <c r="I57" s="861"/>
      <c r="J57" s="862"/>
      <c r="K57" s="437"/>
      <c r="L57" s="361" t="s">
        <v>303</v>
      </c>
      <c r="M57" s="871"/>
      <c r="N57" s="688"/>
      <c r="O57" s="122"/>
      <c r="P57" s="122"/>
      <c r="AH57" s="42" t="n">
        <v>0</v>
      </c>
    </row>
    <row r="58" s="42" customFormat="true" ht="18.75" hidden="true" customHeight="true" outlineLevel="0" collapsed="false">
      <c r="A58" s="136"/>
      <c r="B58" s="136"/>
      <c r="C58" s="340" t="s">
        <v>1142</v>
      </c>
      <c r="D58" s="873"/>
      <c r="E58" s="293"/>
      <c r="F58" s="692"/>
      <c r="G58" s="802"/>
      <c r="H58" s="606"/>
      <c r="I58" s="170" t="s">
        <v>1143</v>
      </c>
      <c r="J58" s="214"/>
      <c r="K58" s="606"/>
      <c r="L58" s="732"/>
      <c r="M58" s="871"/>
      <c r="N58" s="688"/>
      <c r="O58" s="122"/>
      <c r="P58" s="122"/>
      <c r="AH58" s="42" t="n">
        <v>0</v>
      </c>
    </row>
    <row r="59" s="42" customFormat="true" ht="0.75" hidden="true" customHeight="true" outlineLevel="0" collapsed="false">
      <c r="A59" s="136"/>
      <c r="B59" s="136"/>
      <c r="C59" s="340" t="s">
        <v>1148</v>
      </c>
      <c r="D59" s="873"/>
      <c r="E59" s="293"/>
      <c r="F59" s="692"/>
      <c r="G59" s="872"/>
      <c r="H59" s="606"/>
      <c r="I59" s="170"/>
      <c r="J59" s="214"/>
      <c r="K59" s="606"/>
      <c r="L59" s="732"/>
      <c r="M59" s="871"/>
      <c r="N59" s="688"/>
      <c r="O59" s="122"/>
      <c r="P59" s="122"/>
      <c r="AH59" s="42" t="n">
        <v>0</v>
      </c>
    </row>
    <row r="60" s="42" customFormat="true" ht="18.75" hidden="true" customHeight="true" outlineLevel="0" collapsed="false">
      <c r="A60" s="136" t="s">
        <v>237</v>
      </c>
      <c r="B60" s="136" t="s">
        <v>238</v>
      </c>
      <c r="C60" s="340"/>
      <c r="D60" s="873"/>
      <c r="E60" s="293"/>
      <c r="F60" s="692" t="str">
        <f aca="false">INDEX(PT_DIFFERENTIATION_VTAR,MATCH(A60,PT_DIFFERENTIATION_VTAR_ID,0))</f>
        <v>Тариф на подвоз воды</v>
      </c>
      <c r="G60" s="802" t="str">
        <f aca="false">INDEX(PT_DIFFERENTIATION_NTAR,MATCH(B60,PT_DIFFERENTIATION_NTAR_ID,0))</f>
        <v/>
      </c>
      <c r="H60" s="361"/>
      <c r="I60" s="861"/>
      <c r="J60" s="862"/>
      <c r="K60" s="437"/>
      <c r="L60" s="361" t="s">
        <v>303</v>
      </c>
      <c r="M60" s="871"/>
      <c r="N60" s="688"/>
      <c r="O60" s="122"/>
      <c r="P60" s="122"/>
      <c r="AH60" s="42" t="n">
        <v>0</v>
      </c>
    </row>
    <row r="61" s="42" customFormat="true" ht="18.75" hidden="true" customHeight="true" outlineLevel="0" collapsed="false">
      <c r="A61" s="136"/>
      <c r="B61" s="136"/>
      <c r="C61" s="340" t="s">
        <v>1142</v>
      </c>
      <c r="D61" s="873"/>
      <c r="E61" s="293"/>
      <c r="F61" s="692"/>
      <c r="G61" s="802"/>
      <c r="H61" s="606"/>
      <c r="I61" s="170" t="s">
        <v>1143</v>
      </c>
      <c r="J61" s="214"/>
      <c r="K61" s="606"/>
      <c r="L61" s="732"/>
      <c r="M61" s="871"/>
      <c r="N61" s="688"/>
      <c r="O61" s="122"/>
      <c r="P61" s="122"/>
      <c r="AH61" s="42" t="n">
        <v>0</v>
      </c>
    </row>
    <row r="62" s="42" customFormat="true" ht="0.75" hidden="true" customHeight="true" outlineLevel="0" collapsed="false">
      <c r="A62" s="136"/>
      <c r="B62" s="136"/>
      <c r="C62" s="340" t="s">
        <v>1148</v>
      </c>
      <c r="D62" s="873"/>
      <c r="E62" s="293"/>
      <c r="F62" s="692"/>
      <c r="G62" s="872"/>
      <c r="H62" s="606"/>
      <c r="I62" s="170"/>
      <c r="J62" s="214"/>
      <c r="K62" s="606"/>
      <c r="L62" s="732"/>
      <c r="M62" s="871"/>
      <c r="N62" s="688"/>
      <c r="O62" s="122"/>
      <c r="P62" s="122"/>
      <c r="AH62" s="42" t="n">
        <v>0</v>
      </c>
    </row>
    <row r="63" s="42" customFormat="true" ht="18.75" hidden="true" customHeight="true" outlineLevel="0" collapsed="false">
      <c r="A63" s="136" t="s">
        <v>242</v>
      </c>
      <c r="B63" s="136" t="s">
        <v>243</v>
      </c>
      <c r="C63" s="340"/>
      <c r="D63" s="873"/>
      <c r="E63" s="293"/>
      <c r="F63" s="692" t="str">
        <f aca="false">INDEX(PT_DIFFERENTIATION_VTAR,MATCH(A63,PT_DIFFERENTIATION_VTAR_ID,0))</f>
        <v>Тариф на подключение (технологическое присоединение) к централизованной системе холодного водоснабжения</v>
      </c>
      <c r="G63" s="802" t="str">
        <f aca="false">INDEX(PT_DIFFERENTIATION_NTAR,MATCH(B63,PT_DIFFERENTIATION_NTAR_ID,0))</f>
        <v/>
      </c>
      <c r="H63" s="361"/>
      <c r="I63" s="861"/>
      <c r="J63" s="862"/>
      <c r="K63" s="437"/>
      <c r="L63" s="361" t="s">
        <v>303</v>
      </c>
      <c r="M63" s="871"/>
      <c r="N63" s="688"/>
      <c r="O63" s="122"/>
      <c r="P63" s="122"/>
      <c r="AH63" s="42" t="n">
        <v>0</v>
      </c>
    </row>
    <row r="64" s="42" customFormat="true" ht="18.75" hidden="true" customHeight="true" outlineLevel="0" collapsed="false">
      <c r="A64" s="136"/>
      <c r="B64" s="136"/>
      <c r="C64" s="340" t="s">
        <v>1142</v>
      </c>
      <c r="D64" s="873"/>
      <c r="E64" s="293"/>
      <c r="F64" s="692"/>
      <c r="G64" s="802"/>
      <c r="H64" s="606"/>
      <c r="I64" s="170" t="s">
        <v>1143</v>
      </c>
      <c r="J64" s="214"/>
      <c r="K64" s="606"/>
      <c r="L64" s="732"/>
      <c r="M64" s="871"/>
      <c r="N64" s="688"/>
      <c r="O64" s="122"/>
      <c r="P64" s="122"/>
      <c r="AH64" s="42" t="n">
        <v>0</v>
      </c>
    </row>
    <row r="65" s="42" customFormat="true" ht="0.75" hidden="true" customHeight="true" outlineLevel="0" collapsed="false">
      <c r="A65" s="136"/>
      <c r="B65" s="136"/>
      <c r="C65" s="340" t="s">
        <v>1148</v>
      </c>
      <c r="D65" s="873"/>
      <c r="E65" s="293"/>
      <c r="F65" s="692"/>
      <c r="G65" s="872"/>
      <c r="H65" s="606"/>
      <c r="I65" s="170"/>
      <c r="J65" s="214"/>
      <c r="K65" s="606"/>
      <c r="L65" s="732"/>
      <c r="M65" s="871"/>
      <c r="N65" s="688"/>
      <c r="O65" s="122"/>
      <c r="P65" s="122"/>
      <c r="AH65" s="42" t="n">
        <v>0</v>
      </c>
    </row>
    <row r="66" s="42" customFormat="true" ht="18.75" hidden="true" customHeight="true" outlineLevel="0" collapsed="false">
      <c r="A66" s="136" t="s">
        <v>247</v>
      </c>
      <c r="B66" s="136" t="s">
        <v>248</v>
      </c>
      <c r="C66" s="340"/>
      <c r="D66" s="873"/>
      <c r="E66" s="293"/>
      <c r="F66" s="692" t="str">
        <f aca="false">INDEX(PT_DIFFERENTIATION_VTAR,MATCH(A66,PT_DIFFERENTIATION_VTAR_ID,0))</f>
        <v>Тариф на горячую воду (горячее водоснабжение)</v>
      </c>
      <c r="G66" s="802" t="str">
        <f aca="false">INDEX(PT_DIFFERENTIATION_NTAR,MATCH(B66,PT_DIFFERENTIATION_NTAR_ID,0))</f>
        <v/>
      </c>
      <c r="H66" s="361"/>
      <c r="I66" s="861"/>
      <c r="J66" s="862"/>
      <c r="K66" s="437"/>
      <c r="L66" s="361" t="s">
        <v>303</v>
      </c>
      <c r="M66" s="871"/>
      <c r="N66" s="688"/>
      <c r="O66" s="122"/>
      <c r="P66" s="122"/>
      <c r="AH66" s="42" t="n">
        <v>0</v>
      </c>
    </row>
    <row r="67" s="42" customFormat="true" ht="18.75" hidden="true" customHeight="true" outlineLevel="0" collapsed="false">
      <c r="A67" s="136"/>
      <c r="B67" s="136"/>
      <c r="C67" s="340" t="s">
        <v>1142</v>
      </c>
      <c r="D67" s="873"/>
      <c r="E67" s="293"/>
      <c r="F67" s="692"/>
      <c r="G67" s="802"/>
      <c r="H67" s="606"/>
      <c r="I67" s="170" t="s">
        <v>1143</v>
      </c>
      <c r="J67" s="214"/>
      <c r="K67" s="606"/>
      <c r="L67" s="732"/>
      <c r="M67" s="871"/>
      <c r="N67" s="688"/>
      <c r="O67" s="122"/>
      <c r="P67" s="122"/>
      <c r="AH67" s="42" t="n">
        <v>0</v>
      </c>
    </row>
    <row r="68" s="42" customFormat="true" ht="0.75" hidden="true" customHeight="true" outlineLevel="0" collapsed="false">
      <c r="A68" s="136"/>
      <c r="B68" s="136"/>
      <c r="C68" s="340" t="s">
        <v>1148</v>
      </c>
      <c r="D68" s="873"/>
      <c r="E68" s="293"/>
      <c r="F68" s="692"/>
      <c r="G68" s="872"/>
      <c r="H68" s="606"/>
      <c r="I68" s="170"/>
      <c r="J68" s="214"/>
      <c r="K68" s="606"/>
      <c r="L68" s="732"/>
      <c r="M68" s="871"/>
      <c r="N68" s="688"/>
      <c r="O68" s="122"/>
      <c r="P68" s="122"/>
      <c r="AH68" s="42" t="n">
        <v>0</v>
      </c>
    </row>
    <row r="69" s="42" customFormat="true" ht="18.75" hidden="true" customHeight="true" outlineLevel="0" collapsed="false">
      <c r="A69" s="136" t="s">
        <v>252</v>
      </c>
      <c r="B69" s="136" t="s">
        <v>253</v>
      </c>
      <c r="C69" s="340"/>
      <c r="D69" s="873"/>
      <c r="E69" s="293"/>
      <c r="F69" s="692" t="str">
        <f aca="false">INDEX(PT_DIFFERENTIATION_VTAR,MATCH(A69,PT_DIFFERENTIATION_VTAR_ID,0))</f>
        <v>Тариф на транспортировку горячей воды</v>
      </c>
      <c r="G69" s="802" t="str">
        <f aca="false">INDEX(PT_DIFFERENTIATION_NTAR,MATCH(B69,PT_DIFFERENTIATION_NTAR_ID,0))</f>
        <v/>
      </c>
      <c r="H69" s="361"/>
      <c r="I69" s="861"/>
      <c r="J69" s="862"/>
      <c r="K69" s="437"/>
      <c r="L69" s="361" t="s">
        <v>303</v>
      </c>
      <c r="M69" s="871"/>
      <c r="N69" s="688"/>
      <c r="O69" s="122"/>
      <c r="P69" s="122"/>
      <c r="AH69" s="42" t="n">
        <v>0</v>
      </c>
    </row>
    <row r="70" s="42" customFormat="true" ht="18.75" hidden="true" customHeight="true" outlineLevel="0" collapsed="false">
      <c r="A70" s="136"/>
      <c r="B70" s="136"/>
      <c r="C70" s="340" t="s">
        <v>1142</v>
      </c>
      <c r="D70" s="873"/>
      <c r="E70" s="293"/>
      <c r="F70" s="692"/>
      <c r="G70" s="802"/>
      <c r="H70" s="606"/>
      <c r="I70" s="170" t="s">
        <v>1143</v>
      </c>
      <c r="J70" s="214"/>
      <c r="K70" s="606"/>
      <c r="L70" s="732"/>
      <c r="M70" s="871"/>
      <c r="N70" s="688"/>
      <c r="O70" s="122"/>
      <c r="P70" s="122"/>
      <c r="AH70" s="42" t="n">
        <v>0</v>
      </c>
    </row>
    <row r="71" s="42" customFormat="true" ht="0.75" hidden="true" customHeight="true" outlineLevel="0" collapsed="false">
      <c r="A71" s="136"/>
      <c r="B71" s="136"/>
      <c r="C71" s="340" t="s">
        <v>1148</v>
      </c>
      <c r="D71" s="873"/>
      <c r="E71" s="293"/>
      <c r="F71" s="692"/>
      <c r="G71" s="872"/>
      <c r="H71" s="606"/>
      <c r="I71" s="170"/>
      <c r="J71" s="214"/>
      <c r="K71" s="606"/>
      <c r="L71" s="732"/>
      <c r="M71" s="871"/>
      <c r="N71" s="688"/>
      <c r="O71" s="122"/>
      <c r="P71" s="122"/>
      <c r="AH71" s="42" t="n">
        <v>0</v>
      </c>
    </row>
    <row r="72" s="42" customFormat="true" ht="18.75" hidden="true" customHeight="true" outlineLevel="0" collapsed="false">
      <c r="A72" s="136" t="s">
        <v>257</v>
      </c>
      <c r="B72" s="136" t="s">
        <v>258</v>
      </c>
      <c r="C72" s="340"/>
      <c r="D72" s="873"/>
      <c r="E72" s="293"/>
      <c r="F72" s="692" t="str">
        <f aca="false">INDEX(PT_DIFFERENTIATION_VTAR,MATCH(A72,PT_DIFFERENTIATION_VTAR_ID,0))</f>
        <v>Тариф на подключение (технологическое присоединение) к централизованной системе горячего водоснабжения</v>
      </c>
      <c r="G72" s="802" t="str">
        <f aca="false">INDEX(PT_DIFFERENTIATION_NTAR,MATCH(B72,PT_DIFFERENTIATION_NTAR_ID,0))</f>
        <v/>
      </c>
      <c r="H72" s="361"/>
      <c r="I72" s="861"/>
      <c r="J72" s="862"/>
      <c r="K72" s="437"/>
      <c r="L72" s="361" t="s">
        <v>303</v>
      </c>
      <c r="M72" s="871"/>
      <c r="N72" s="688"/>
      <c r="O72" s="122"/>
      <c r="P72" s="122"/>
      <c r="AH72" s="42" t="n">
        <v>0</v>
      </c>
    </row>
    <row r="73" s="42" customFormat="true" ht="18.75" hidden="true" customHeight="true" outlineLevel="0" collapsed="false">
      <c r="A73" s="136"/>
      <c r="B73" s="136"/>
      <c r="C73" s="340" t="s">
        <v>1142</v>
      </c>
      <c r="D73" s="873"/>
      <c r="E73" s="293"/>
      <c r="F73" s="692"/>
      <c r="G73" s="802"/>
      <c r="H73" s="606"/>
      <c r="I73" s="170" t="s">
        <v>1143</v>
      </c>
      <c r="J73" s="214"/>
      <c r="K73" s="606"/>
      <c r="L73" s="732"/>
      <c r="M73" s="871"/>
      <c r="N73" s="688"/>
      <c r="O73" s="122"/>
      <c r="P73" s="122"/>
      <c r="AH73" s="42" t="n">
        <v>0</v>
      </c>
    </row>
    <row r="74" s="42" customFormat="true" ht="0.75" hidden="true" customHeight="true" outlineLevel="0" collapsed="false">
      <c r="A74" s="136"/>
      <c r="B74" s="136"/>
      <c r="C74" s="340" t="s">
        <v>1148</v>
      </c>
      <c r="D74" s="873"/>
      <c r="E74" s="293"/>
      <c r="F74" s="692"/>
      <c r="G74" s="872"/>
      <c r="H74" s="606"/>
      <c r="I74" s="170"/>
      <c r="J74" s="214"/>
      <c r="K74" s="606"/>
      <c r="L74" s="732"/>
      <c r="M74" s="871"/>
      <c r="N74" s="688"/>
      <c r="O74" s="122"/>
      <c r="P74" s="122"/>
      <c r="AH74" s="42" t="n">
        <v>0</v>
      </c>
    </row>
    <row r="75" s="42" customFormat="true" ht="18.75" hidden="true" customHeight="true" outlineLevel="0" collapsed="false">
      <c r="A75" s="136" t="s">
        <v>262</v>
      </c>
      <c r="B75" s="136" t="s">
        <v>263</v>
      </c>
      <c r="C75" s="340"/>
      <c r="D75" s="873"/>
      <c r="E75" s="293"/>
      <c r="F75" s="692" t="str">
        <f aca="false">INDEX(PT_DIFFERENTIATION_VTAR,MATCH(A75,PT_DIFFERENTIATION_VTAR_ID,0))</f>
        <v>Тариф на водоотведение</v>
      </c>
      <c r="G75" s="802" t="str">
        <f aca="false">INDEX(PT_DIFFERENTIATION_NTAR,MATCH(B75,PT_DIFFERENTIATION_NTAR_ID,0))</f>
        <v/>
      </c>
      <c r="H75" s="361"/>
      <c r="I75" s="861"/>
      <c r="J75" s="862"/>
      <c r="K75" s="437"/>
      <c r="L75" s="361" t="s">
        <v>303</v>
      </c>
      <c r="M75" s="871"/>
      <c r="N75" s="688"/>
      <c r="O75" s="122"/>
      <c r="P75" s="122"/>
      <c r="AH75" s="42" t="n">
        <v>0</v>
      </c>
    </row>
    <row r="76" s="42" customFormat="true" ht="18.75" hidden="true" customHeight="true" outlineLevel="0" collapsed="false">
      <c r="A76" s="136"/>
      <c r="B76" s="136"/>
      <c r="C76" s="340" t="s">
        <v>1142</v>
      </c>
      <c r="D76" s="873"/>
      <c r="E76" s="293"/>
      <c r="F76" s="692"/>
      <c r="G76" s="802"/>
      <c r="H76" s="606"/>
      <c r="I76" s="170" t="s">
        <v>1143</v>
      </c>
      <c r="J76" s="214"/>
      <c r="K76" s="606"/>
      <c r="L76" s="732"/>
      <c r="M76" s="871"/>
      <c r="N76" s="688"/>
      <c r="O76" s="122"/>
      <c r="P76" s="122"/>
      <c r="AH76" s="42" t="n">
        <v>0</v>
      </c>
    </row>
    <row r="77" s="42" customFormat="true" ht="0.75" hidden="true" customHeight="true" outlineLevel="0" collapsed="false">
      <c r="A77" s="136"/>
      <c r="B77" s="136"/>
      <c r="C77" s="340" t="s">
        <v>1148</v>
      </c>
      <c r="D77" s="873"/>
      <c r="E77" s="293"/>
      <c r="F77" s="692"/>
      <c r="G77" s="872"/>
      <c r="H77" s="606"/>
      <c r="I77" s="170"/>
      <c r="J77" s="214"/>
      <c r="K77" s="606"/>
      <c r="L77" s="732"/>
      <c r="M77" s="871"/>
      <c r="N77" s="688"/>
      <c r="O77" s="122"/>
      <c r="P77" s="122"/>
      <c r="AH77" s="42" t="n">
        <v>0</v>
      </c>
    </row>
    <row r="78" s="42" customFormat="true" ht="18.75" hidden="true" customHeight="true" outlineLevel="0" collapsed="false">
      <c r="A78" s="136" t="s">
        <v>267</v>
      </c>
      <c r="B78" s="136" t="s">
        <v>268</v>
      </c>
      <c r="C78" s="340"/>
      <c r="D78" s="873"/>
      <c r="E78" s="293"/>
      <c r="F78" s="692" t="str">
        <f aca="false">INDEX(PT_DIFFERENTIATION_VTAR,MATCH(A78,PT_DIFFERENTIATION_VTAR_ID,0))</f>
        <v>Тариф на транспортировку сточных вод</v>
      </c>
      <c r="G78" s="802" t="str">
        <f aca="false">INDEX(PT_DIFFERENTIATION_NTAR,MATCH(B78,PT_DIFFERENTIATION_NTAR_ID,0))</f>
        <v/>
      </c>
      <c r="H78" s="361"/>
      <c r="I78" s="861"/>
      <c r="J78" s="862"/>
      <c r="K78" s="437"/>
      <c r="L78" s="361" t="s">
        <v>303</v>
      </c>
      <c r="M78" s="871"/>
      <c r="N78" s="688"/>
      <c r="O78" s="122"/>
      <c r="P78" s="122"/>
      <c r="AH78" s="42" t="n">
        <v>0</v>
      </c>
    </row>
    <row r="79" s="42" customFormat="true" ht="18.75" hidden="true" customHeight="true" outlineLevel="0" collapsed="false">
      <c r="A79" s="136"/>
      <c r="B79" s="136"/>
      <c r="C79" s="340" t="s">
        <v>1142</v>
      </c>
      <c r="D79" s="873"/>
      <c r="E79" s="293"/>
      <c r="F79" s="692"/>
      <c r="G79" s="802"/>
      <c r="H79" s="606"/>
      <c r="I79" s="170" t="s">
        <v>1143</v>
      </c>
      <c r="J79" s="214"/>
      <c r="K79" s="606"/>
      <c r="L79" s="732"/>
      <c r="M79" s="871"/>
      <c r="N79" s="688"/>
      <c r="O79" s="122"/>
      <c r="P79" s="122"/>
      <c r="AH79" s="42" t="n">
        <v>0</v>
      </c>
    </row>
    <row r="80" s="42" customFormat="true" ht="0.75" hidden="true" customHeight="true" outlineLevel="0" collapsed="false">
      <c r="A80" s="136"/>
      <c r="B80" s="136"/>
      <c r="C80" s="340" t="s">
        <v>1148</v>
      </c>
      <c r="D80" s="873"/>
      <c r="E80" s="293"/>
      <c r="F80" s="692"/>
      <c r="G80" s="872"/>
      <c r="H80" s="606"/>
      <c r="I80" s="170"/>
      <c r="J80" s="214"/>
      <c r="K80" s="606"/>
      <c r="L80" s="732"/>
      <c r="M80" s="871"/>
      <c r="N80" s="688"/>
      <c r="O80" s="122"/>
      <c r="P80" s="122"/>
      <c r="AH80" s="42" t="n">
        <v>0</v>
      </c>
    </row>
    <row r="81" s="42" customFormat="true" ht="18.75" hidden="true" customHeight="true" outlineLevel="0" collapsed="false">
      <c r="A81" s="136" t="s">
        <v>272</v>
      </c>
      <c r="B81" s="136" t="s">
        <v>273</v>
      </c>
      <c r="C81" s="340"/>
      <c r="D81" s="873"/>
      <c r="E81" s="293"/>
      <c r="F81" s="692" t="str">
        <f aca="false">INDEX(PT_DIFFERENTIATION_VTAR,MATCH(A81,PT_DIFFERENTIATION_VTAR_ID,0))</f>
        <v>Тариф на подключение (технологическое присоединение) к централизованной системе водоотведения</v>
      </c>
      <c r="G81" s="802" t="str">
        <f aca="false">INDEX(PT_DIFFERENTIATION_NTAR,MATCH(B81,PT_DIFFERENTIATION_NTAR_ID,0))</f>
        <v/>
      </c>
      <c r="H81" s="361"/>
      <c r="I81" s="861"/>
      <c r="J81" s="862"/>
      <c r="K81" s="437"/>
      <c r="L81" s="361" t="s">
        <v>303</v>
      </c>
      <c r="M81" s="871"/>
      <c r="N81" s="688"/>
      <c r="O81" s="122"/>
      <c r="P81" s="122"/>
      <c r="AH81" s="42" t="n">
        <v>0</v>
      </c>
    </row>
    <row r="82" s="42" customFormat="true" ht="18.75" hidden="true" customHeight="true" outlineLevel="0" collapsed="false">
      <c r="A82" s="136"/>
      <c r="B82" s="136"/>
      <c r="C82" s="340" t="s">
        <v>1142</v>
      </c>
      <c r="D82" s="873"/>
      <c r="E82" s="293"/>
      <c r="F82" s="692"/>
      <c r="G82" s="802"/>
      <c r="H82" s="606"/>
      <c r="I82" s="170" t="s">
        <v>1143</v>
      </c>
      <c r="J82" s="214"/>
      <c r="K82" s="606"/>
      <c r="L82" s="732"/>
      <c r="M82" s="871"/>
      <c r="N82" s="688"/>
      <c r="O82" s="122"/>
      <c r="P82" s="122"/>
      <c r="AH82" s="42" t="n">
        <v>0</v>
      </c>
    </row>
    <row r="83" s="42" customFormat="true" ht="0.75" hidden="false" customHeight="true" outlineLevel="0" collapsed="false">
      <c r="A83" s="136"/>
      <c r="B83" s="136"/>
      <c r="C83" s="340" t="s">
        <v>1148</v>
      </c>
      <c r="D83" s="873"/>
      <c r="E83" s="293"/>
      <c r="F83" s="692"/>
      <c r="G83" s="872"/>
      <c r="H83" s="606"/>
      <c r="I83" s="170"/>
      <c r="J83" s="214"/>
      <c r="K83" s="606"/>
      <c r="L83" s="732"/>
      <c r="M83" s="871"/>
      <c r="N83" s="688"/>
      <c r="O83" s="122"/>
      <c r="P83" s="122"/>
      <c r="AH83" s="42" t="n">
        <v>1</v>
      </c>
    </row>
    <row r="84" customFormat="false" ht="19.5" hidden="false" customHeight="true" outlineLevel="0" collapsed="false">
      <c r="A84" s="136"/>
      <c r="B84" s="136"/>
      <c r="D84" s="470"/>
      <c r="E84" s="293" t="s">
        <v>108</v>
      </c>
      <c r="F84" s="876" t="str">
        <f aca="false">"Долгосрочные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876"/>
      <c r="H84" s="876"/>
      <c r="I84" s="876"/>
      <c r="J84" s="876"/>
      <c r="K84" s="876"/>
      <c r="L84" s="876"/>
      <c r="M84" s="726"/>
      <c r="N84" s="688"/>
      <c r="AH84" s="42" t="n">
        <v>19</v>
      </c>
    </row>
    <row r="85" customFormat="false" ht="35.25" hidden="false" customHeight="true" outlineLevel="0" collapsed="false">
      <c r="A85" s="136"/>
      <c r="B85" s="136"/>
      <c r="D85" s="470"/>
      <c r="E85" s="877"/>
      <c r="F85" s="220" t="s">
        <v>303</v>
      </c>
      <c r="G85" s="220" t="s">
        <v>303</v>
      </c>
      <c r="H85" s="220" t="s">
        <v>303</v>
      </c>
      <c r="I85" s="220"/>
      <c r="J85" s="220" t="s">
        <v>303</v>
      </c>
      <c r="K85" s="220" t="s">
        <v>303</v>
      </c>
      <c r="L85" s="662"/>
      <c r="M85" s="423" t="s">
        <v>1149</v>
      </c>
      <c r="N85" s="688"/>
      <c r="AH85" s="42" t="n">
        <v>34</v>
      </c>
    </row>
    <row r="86" customFormat="false" ht="19.5" hidden="false" customHeight="true" outlineLevel="0" collapsed="false">
      <c r="A86" s="136"/>
      <c r="B86" s="136"/>
      <c r="D86" s="470"/>
      <c r="E86" s="293" t="s">
        <v>88</v>
      </c>
      <c r="F86" s="876" t="s">
        <v>1150</v>
      </c>
      <c r="G86" s="876"/>
      <c r="H86" s="876"/>
      <c r="I86" s="876"/>
      <c r="J86" s="876"/>
      <c r="K86" s="876"/>
      <c r="L86" s="876"/>
      <c r="M86" s="726"/>
      <c r="N86" s="688"/>
      <c r="AH86" s="42" t="n">
        <v>19</v>
      </c>
    </row>
    <row r="87" s="42" customFormat="true" ht="60.75" hidden="true" customHeight="true" outlineLevel="0" collapsed="false">
      <c r="A87" s="136" t="s">
        <v>154</v>
      </c>
      <c r="B87" s="136" t="s">
        <v>155</v>
      </c>
      <c r="C87" s="340"/>
      <c r="D87" s="873"/>
      <c r="E87" s="293"/>
      <c r="F87" s="692" t="str">
        <f aca="false">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802" t="str">
        <f aca="false">INDEX(PT_DIFFERENTIATION_NTAR,MATCH(B87,PT_DIFFERENTIATION_NTAR_ID,0))</f>
        <v/>
      </c>
      <c r="H87" s="361"/>
      <c r="I87" s="861"/>
      <c r="J87" s="862"/>
      <c r="K87" s="374"/>
      <c r="L87" s="361" t="s">
        <v>303</v>
      </c>
      <c r="M87" s="84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88"/>
      <c r="O87" s="122"/>
      <c r="P87" s="122"/>
      <c r="AH87" s="42" t="n">
        <v>0</v>
      </c>
    </row>
    <row r="88" s="42" customFormat="true" ht="18.75" hidden="true" customHeight="true" outlineLevel="0" collapsed="false">
      <c r="A88" s="136"/>
      <c r="B88" s="136"/>
      <c r="C88" s="340" t="s">
        <v>1144</v>
      </c>
      <c r="D88" s="873"/>
      <c r="E88" s="293"/>
      <c r="F88" s="692"/>
      <c r="G88" s="802"/>
      <c r="H88" s="606"/>
      <c r="I88" s="170" t="s">
        <v>1143</v>
      </c>
      <c r="J88" s="214"/>
      <c r="K88" s="606"/>
      <c r="L88" s="732"/>
      <c r="M88" s="844"/>
      <c r="N88" s="688"/>
      <c r="O88" s="122"/>
      <c r="P88" s="122"/>
      <c r="AH88" s="42" t="n">
        <v>0</v>
      </c>
    </row>
    <row r="89" s="42" customFormat="true" ht="0.75" hidden="true" customHeight="true" outlineLevel="0" collapsed="false">
      <c r="A89" s="136"/>
      <c r="B89" s="136"/>
      <c r="C89" s="340" t="s">
        <v>1151</v>
      </c>
      <c r="D89" s="873"/>
      <c r="E89" s="293"/>
      <c r="F89" s="692"/>
      <c r="G89" s="872"/>
      <c r="H89" s="606"/>
      <c r="I89" s="170"/>
      <c r="J89" s="214"/>
      <c r="K89" s="606"/>
      <c r="L89" s="732"/>
      <c r="M89" s="844"/>
      <c r="N89" s="688"/>
      <c r="O89" s="122"/>
      <c r="P89" s="122"/>
      <c r="AH89" s="42" t="n">
        <v>0</v>
      </c>
    </row>
    <row r="90" s="42" customFormat="true" ht="45" hidden="true" customHeight="true" outlineLevel="0" collapsed="false">
      <c r="A90" s="136" t="s">
        <v>159</v>
      </c>
      <c r="B90" s="136" t="s">
        <v>160</v>
      </c>
      <c r="C90" s="340"/>
      <c r="D90" s="873"/>
      <c r="E90" s="293"/>
      <c r="F90" s="692" t="str">
        <f aca="false">INDEX(PT_DIFFERENTIATION_VTAR,MATCH(A90,PT_DIFFERENTIATION_VTAR_ID,0))</f>
        <v/>
      </c>
      <c r="G90" s="802" t="str">
        <f aca="false">INDEX(PT_DIFFERENTIATION_NTAR,MATCH(B90,PT_DIFFERENTIATION_NTAR_ID,0))</f>
        <v/>
      </c>
      <c r="H90" s="361"/>
      <c r="I90" s="861"/>
      <c r="J90" s="862"/>
      <c r="K90" s="374"/>
      <c r="L90" s="361" t="s">
        <v>303</v>
      </c>
      <c r="M90" s="844"/>
      <c r="N90" s="688"/>
      <c r="O90" s="122"/>
      <c r="P90" s="122"/>
      <c r="AH90" s="42" t="n">
        <v>0</v>
      </c>
    </row>
    <row r="91" s="42" customFormat="true" ht="18.75" hidden="true" customHeight="true" outlineLevel="0" collapsed="false">
      <c r="A91" s="136"/>
      <c r="B91" s="136"/>
      <c r="C91" s="340" t="s">
        <v>1144</v>
      </c>
      <c r="D91" s="873"/>
      <c r="E91" s="293"/>
      <c r="F91" s="692"/>
      <c r="G91" s="802"/>
      <c r="H91" s="606"/>
      <c r="I91" s="170" t="s">
        <v>1143</v>
      </c>
      <c r="J91" s="214"/>
      <c r="K91" s="606"/>
      <c r="L91" s="732"/>
      <c r="M91" s="878"/>
      <c r="N91" s="688"/>
      <c r="O91" s="122"/>
      <c r="P91" s="122"/>
      <c r="AH91" s="42" t="n">
        <v>0</v>
      </c>
    </row>
    <row r="92" s="42" customFormat="true" ht="0.75" hidden="true" customHeight="true" outlineLevel="0" collapsed="false">
      <c r="A92" s="136"/>
      <c r="B92" s="136"/>
      <c r="C92" s="340" t="s">
        <v>1151</v>
      </c>
      <c r="D92" s="873"/>
      <c r="E92" s="293"/>
      <c r="F92" s="692"/>
      <c r="G92" s="872"/>
      <c r="H92" s="606"/>
      <c r="I92" s="170"/>
      <c r="J92" s="214"/>
      <c r="K92" s="606"/>
      <c r="L92" s="732"/>
      <c r="M92" s="856"/>
      <c r="N92" s="688"/>
      <c r="O92" s="122"/>
      <c r="P92" s="122"/>
      <c r="AH92" s="42" t="n">
        <v>0</v>
      </c>
    </row>
    <row r="93" s="42" customFormat="true" ht="45" hidden="true" customHeight="true" outlineLevel="0" collapsed="false">
      <c r="A93" s="136" t="s">
        <v>166</v>
      </c>
      <c r="B93" s="136" t="s">
        <v>167</v>
      </c>
      <c r="C93" s="340"/>
      <c r="D93" s="873"/>
      <c r="E93" s="293"/>
      <c r="F93" s="692" t="str">
        <f aca="false">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802" t="str">
        <f aca="false">INDEX(PT_DIFFERENTIATION_NTAR,MATCH(B93,PT_DIFFERENTIATION_NTAR_ID,0))</f>
        <v/>
      </c>
      <c r="H93" s="361"/>
      <c r="I93" s="861"/>
      <c r="J93" s="862"/>
      <c r="K93" s="374"/>
      <c r="L93" s="361" t="s">
        <v>303</v>
      </c>
      <c r="M93" s="856"/>
      <c r="N93" s="688"/>
      <c r="O93" s="122"/>
      <c r="P93" s="122"/>
      <c r="AH93" s="42" t="n">
        <v>0</v>
      </c>
    </row>
    <row r="94" s="42" customFormat="true" ht="18.75" hidden="true" customHeight="true" outlineLevel="0" collapsed="false">
      <c r="A94" s="136"/>
      <c r="B94" s="136"/>
      <c r="C94" s="340" t="s">
        <v>1144</v>
      </c>
      <c r="D94" s="873"/>
      <c r="E94" s="293"/>
      <c r="F94" s="692"/>
      <c r="G94" s="802"/>
      <c r="H94" s="606"/>
      <c r="I94" s="170" t="s">
        <v>1143</v>
      </c>
      <c r="J94" s="214"/>
      <c r="K94" s="606"/>
      <c r="L94" s="732"/>
      <c r="M94" s="856"/>
      <c r="N94" s="688"/>
      <c r="O94" s="122"/>
      <c r="P94" s="122"/>
      <c r="AH94" s="42" t="n">
        <v>0</v>
      </c>
    </row>
    <row r="95" s="42" customFormat="true" ht="0.75" hidden="true" customHeight="true" outlineLevel="0" collapsed="false">
      <c r="A95" s="136"/>
      <c r="B95" s="136"/>
      <c r="C95" s="340" t="s">
        <v>1151</v>
      </c>
      <c r="D95" s="873"/>
      <c r="E95" s="293"/>
      <c r="F95" s="692"/>
      <c r="G95" s="872"/>
      <c r="H95" s="606"/>
      <c r="I95" s="170"/>
      <c r="J95" s="214"/>
      <c r="K95" s="606"/>
      <c r="L95" s="732"/>
      <c r="M95" s="856"/>
      <c r="N95" s="688"/>
      <c r="O95" s="122"/>
      <c r="P95" s="122"/>
      <c r="AH95" s="42" t="n">
        <v>0</v>
      </c>
    </row>
    <row r="96" s="42" customFormat="true" ht="45" hidden="true" customHeight="true" outlineLevel="0" collapsed="false">
      <c r="A96" s="136" t="s">
        <v>172</v>
      </c>
      <c r="B96" s="136" t="s">
        <v>173</v>
      </c>
      <c r="C96" s="340"/>
      <c r="D96" s="873"/>
      <c r="E96" s="293"/>
      <c r="F96" s="692" t="str">
        <f aca="false">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802" t="str">
        <f aca="false">INDEX(PT_DIFFERENTIATION_NTAR,MATCH(B96,PT_DIFFERENTIATION_NTAR_ID,0))</f>
        <v/>
      </c>
      <c r="H96" s="361"/>
      <c r="I96" s="861"/>
      <c r="J96" s="862"/>
      <c r="K96" s="374"/>
      <c r="L96" s="361" t="s">
        <v>303</v>
      </c>
      <c r="M96" s="856"/>
      <c r="N96" s="688"/>
      <c r="O96" s="122"/>
      <c r="P96" s="122"/>
      <c r="AH96" s="42" t="n">
        <v>0</v>
      </c>
    </row>
    <row r="97" s="42" customFormat="true" ht="18.75" hidden="true" customHeight="true" outlineLevel="0" collapsed="false">
      <c r="A97" s="136"/>
      <c r="B97" s="136"/>
      <c r="C97" s="340" t="s">
        <v>1144</v>
      </c>
      <c r="D97" s="873"/>
      <c r="E97" s="293"/>
      <c r="F97" s="692"/>
      <c r="G97" s="802"/>
      <c r="H97" s="606"/>
      <c r="I97" s="170" t="s">
        <v>1143</v>
      </c>
      <c r="J97" s="214"/>
      <c r="K97" s="606"/>
      <c r="L97" s="732"/>
      <c r="M97" s="856"/>
      <c r="N97" s="688"/>
      <c r="O97" s="122"/>
      <c r="P97" s="122"/>
      <c r="AH97" s="42" t="n">
        <v>0</v>
      </c>
    </row>
    <row r="98" s="42" customFormat="true" ht="0.75" hidden="true" customHeight="true" outlineLevel="0" collapsed="false">
      <c r="A98" s="136"/>
      <c r="B98" s="136"/>
      <c r="C98" s="340" t="s">
        <v>1151</v>
      </c>
      <c r="D98" s="873"/>
      <c r="E98" s="293"/>
      <c r="F98" s="692"/>
      <c r="G98" s="872"/>
      <c r="H98" s="606"/>
      <c r="I98" s="170"/>
      <c r="J98" s="214"/>
      <c r="K98" s="606"/>
      <c r="L98" s="732"/>
      <c r="M98" s="856"/>
      <c r="N98" s="688"/>
      <c r="O98" s="122"/>
      <c r="P98" s="122"/>
      <c r="AH98" s="42" t="n">
        <v>0</v>
      </c>
    </row>
    <row r="99" s="42" customFormat="true" ht="18.75" hidden="true" customHeight="true" outlineLevel="0" collapsed="false">
      <c r="A99" s="136" t="s">
        <v>178</v>
      </c>
      <c r="B99" s="136" t="s">
        <v>179</v>
      </c>
      <c r="C99" s="340"/>
      <c r="D99" s="873"/>
      <c r="E99" s="293"/>
      <c r="F99" s="692" t="str">
        <f aca="false">INDEX(PT_DIFFERENTIATION_VTAR,MATCH(A99,PT_DIFFERENTIATION_VTAR_ID,0))</f>
        <v>Тарифы на услуги по передаче тепловой энергии</v>
      </c>
      <c r="G99" s="802" t="str">
        <f aca="false">INDEX(PT_DIFFERENTIATION_NTAR,MATCH(B99,PT_DIFFERENTIATION_NTAR_ID,0))</f>
        <v/>
      </c>
      <c r="H99" s="361"/>
      <c r="I99" s="861"/>
      <c r="J99" s="862"/>
      <c r="K99" s="374"/>
      <c r="L99" s="361" t="s">
        <v>303</v>
      </c>
      <c r="M99" s="856"/>
      <c r="N99" s="688"/>
      <c r="O99" s="122"/>
      <c r="P99" s="122"/>
      <c r="AH99" s="42" t="n">
        <v>0</v>
      </c>
    </row>
    <row r="100" s="42" customFormat="true" ht="18.75" hidden="true" customHeight="true" outlineLevel="0" collapsed="false">
      <c r="A100" s="136"/>
      <c r="B100" s="136"/>
      <c r="C100" s="340" t="s">
        <v>1144</v>
      </c>
      <c r="D100" s="873"/>
      <c r="E100" s="293"/>
      <c r="F100" s="692"/>
      <c r="G100" s="802"/>
      <c r="H100" s="606"/>
      <c r="I100" s="170" t="s">
        <v>1143</v>
      </c>
      <c r="J100" s="214"/>
      <c r="K100" s="606"/>
      <c r="L100" s="732"/>
      <c r="M100" s="856"/>
      <c r="N100" s="688"/>
      <c r="O100" s="122"/>
      <c r="P100" s="122"/>
      <c r="AH100" s="42" t="n">
        <v>0</v>
      </c>
    </row>
    <row r="101" s="42" customFormat="true" ht="0.75" hidden="true" customHeight="true" outlineLevel="0" collapsed="false">
      <c r="A101" s="136"/>
      <c r="B101" s="136"/>
      <c r="C101" s="340" t="s">
        <v>1151</v>
      </c>
      <c r="D101" s="873"/>
      <c r="E101" s="293"/>
      <c r="F101" s="692"/>
      <c r="G101" s="872"/>
      <c r="H101" s="606"/>
      <c r="I101" s="170"/>
      <c r="J101" s="214"/>
      <c r="K101" s="606"/>
      <c r="L101" s="732"/>
      <c r="M101" s="856"/>
      <c r="N101" s="688"/>
      <c r="O101" s="122"/>
      <c r="P101" s="122"/>
      <c r="AH101" s="42" t="n">
        <v>0</v>
      </c>
    </row>
    <row r="102" s="42" customFormat="true" ht="18.75" hidden="true" customHeight="true" outlineLevel="0" collapsed="false">
      <c r="A102" s="136" t="s">
        <v>184</v>
      </c>
      <c r="B102" s="136" t="s">
        <v>185</v>
      </c>
      <c r="C102" s="340"/>
      <c r="D102" s="873"/>
      <c r="E102" s="293"/>
      <c r="F102" s="692" t="str">
        <f aca="false">INDEX(PT_DIFFERENTIATION_VTAR,MATCH(A102,PT_DIFFERENTIATION_VTAR_ID,0))</f>
        <v>Тарифы на услуги по передаче теплоносителя</v>
      </c>
      <c r="G102" s="802" t="str">
        <f aca="false">INDEX(PT_DIFFERENTIATION_NTAR,MATCH(B102,PT_DIFFERENTIATION_NTAR_ID,0))</f>
        <v/>
      </c>
      <c r="H102" s="361"/>
      <c r="I102" s="861"/>
      <c r="J102" s="862"/>
      <c r="K102" s="374"/>
      <c r="L102" s="361" t="s">
        <v>303</v>
      </c>
      <c r="M102" s="856"/>
      <c r="N102" s="688"/>
      <c r="O102" s="122"/>
      <c r="P102" s="122"/>
      <c r="AH102" s="42" t="n">
        <v>0</v>
      </c>
    </row>
    <row r="103" s="42" customFormat="true" ht="18.75" hidden="true" customHeight="true" outlineLevel="0" collapsed="false">
      <c r="A103" s="136"/>
      <c r="B103" s="136"/>
      <c r="C103" s="340" t="s">
        <v>1144</v>
      </c>
      <c r="D103" s="873"/>
      <c r="E103" s="293"/>
      <c r="F103" s="692"/>
      <c r="G103" s="802"/>
      <c r="H103" s="606"/>
      <c r="I103" s="170" t="s">
        <v>1143</v>
      </c>
      <c r="J103" s="214"/>
      <c r="K103" s="606"/>
      <c r="L103" s="732"/>
      <c r="M103" s="856"/>
      <c r="N103" s="688"/>
      <c r="O103" s="122"/>
      <c r="P103" s="122"/>
      <c r="AH103" s="42" t="n">
        <v>0</v>
      </c>
    </row>
    <row r="104" s="42" customFormat="true" ht="0.75" hidden="true" customHeight="true" outlineLevel="0" collapsed="false">
      <c r="A104" s="136"/>
      <c r="B104" s="136"/>
      <c r="C104" s="340" t="s">
        <v>1151</v>
      </c>
      <c r="D104" s="873"/>
      <c r="E104" s="293"/>
      <c r="F104" s="692"/>
      <c r="G104" s="872"/>
      <c r="H104" s="606"/>
      <c r="I104" s="170"/>
      <c r="J104" s="214"/>
      <c r="K104" s="606"/>
      <c r="L104" s="732"/>
      <c r="M104" s="856"/>
      <c r="N104" s="688"/>
      <c r="O104" s="122"/>
      <c r="P104" s="122"/>
      <c r="AH104" s="42" t="n">
        <v>0</v>
      </c>
    </row>
    <row r="105" s="42" customFormat="true" ht="18.75" hidden="true" customHeight="true" outlineLevel="0" collapsed="false">
      <c r="A105" s="136" t="s">
        <v>190</v>
      </c>
      <c r="B105" s="136" t="s">
        <v>191</v>
      </c>
      <c r="C105" s="340"/>
      <c r="D105" s="873"/>
      <c r="E105" s="293"/>
      <c r="F105" s="692" t="str">
        <f aca="false">INDEX(PT_DIFFERENTIATION_VTAR,MATCH(A105,PT_DIFFERENTIATION_VTAR_ID,0))</f>
        <v>Плата за услуги по поддержанию резервной тепловой мощности при отсутствии потребления тепловой энергии</v>
      </c>
      <c r="G105" s="802" t="str">
        <f aca="false">INDEX(PT_DIFFERENTIATION_NTAR,MATCH(B105,PT_DIFFERENTIATION_NTAR_ID,0))</f>
        <v/>
      </c>
      <c r="H105" s="361"/>
      <c r="I105" s="861"/>
      <c r="J105" s="862"/>
      <c r="K105" s="374"/>
      <c r="L105" s="361" t="s">
        <v>303</v>
      </c>
      <c r="M105" s="856"/>
      <c r="N105" s="688"/>
      <c r="O105" s="122"/>
      <c r="P105" s="122"/>
      <c r="AH105" s="42" t="n">
        <v>0</v>
      </c>
    </row>
    <row r="106" s="42" customFormat="true" ht="18.75" hidden="true" customHeight="true" outlineLevel="0" collapsed="false">
      <c r="A106" s="136"/>
      <c r="B106" s="136"/>
      <c r="C106" s="340" t="s">
        <v>1144</v>
      </c>
      <c r="D106" s="873"/>
      <c r="E106" s="293"/>
      <c r="F106" s="692"/>
      <c r="G106" s="802"/>
      <c r="H106" s="606"/>
      <c r="I106" s="170" t="s">
        <v>1143</v>
      </c>
      <c r="J106" s="214"/>
      <c r="K106" s="606"/>
      <c r="L106" s="732"/>
      <c r="M106" s="856"/>
      <c r="N106" s="688"/>
      <c r="O106" s="122"/>
      <c r="P106" s="122"/>
      <c r="AH106" s="42" t="n">
        <v>0</v>
      </c>
    </row>
    <row r="107" s="42" customFormat="true" ht="0.75" hidden="true" customHeight="true" outlineLevel="0" collapsed="false">
      <c r="A107" s="136"/>
      <c r="B107" s="136"/>
      <c r="C107" s="340" t="s">
        <v>1151</v>
      </c>
      <c r="D107" s="873"/>
      <c r="E107" s="293"/>
      <c r="F107" s="692"/>
      <c r="G107" s="872"/>
      <c r="H107" s="606"/>
      <c r="I107" s="170"/>
      <c r="J107" s="214"/>
      <c r="K107" s="606"/>
      <c r="L107" s="732"/>
      <c r="M107" s="856"/>
      <c r="N107" s="688"/>
      <c r="O107" s="122"/>
      <c r="P107" s="122"/>
      <c r="AH107" s="42" t="n">
        <v>0</v>
      </c>
    </row>
    <row r="108" s="42" customFormat="true" ht="18.75" hidden="true" customHeight="true" outlineLevel="0" collapsed="false">
      <c r="A108" s="136" t="s">
        <v>196</v>
      </c>
      <c r="B108" s="136" t="s">
        <v>197</v>
      </c>
      <c r="C108" s="340"/>
      <c r="D108" s="873"/>
      <c r="E108" s="293"/>
      <c r="F108" s="692" t="str">
        <f aca="false">INDEX(PT_DIFFERENTIATION_VTAR,MATCH(A108,PT_DIFFERENTIATION_VTAR_ID,0))</f>
        <v>Плата за подключение (технологическое присоединение) к системе теплоснабжения</v>
      </c>
      <c r="G108" s="802" t="str">
        <f aca="false">INDEX(PT_DIFFERENTIATION_NTAR,MATCH(B108,PT_DIFFERENTIATION_NTAR_ID,0))</f>
        <v/>
      </c>
      <c r="H108" s="361"/>
      <c r="I108" s="861"/>
      <c r="J108" s="862"/>
      <c r="K108" s="374"/>
      <c r="L108" s="361" t="s">
        <v>303</v>
      </c>
      <c r="M108" s="856"/>
      <c r="N108" s="688"/>
      <c r="O108" s="122"/>
      <c r="P108" s="122"/>
      <c r="AH108" s="42" t="n">
        <v>0</v>
      </c>
    </row>
    <row r="109" s="42" customFormat="true" ht="18.75" hidden="true" customHeight="true" outlineLevel="0" collapsed="false">
      <c r="A109" s="136"/>
      <c r="B109" s="136"/>
      <c r="C109" s="340" t="s">
        <v>1144</v>
      </c>
      <c r="D109" s="873"/>
      <c r="E109" s="293"/>
      <c r="F109" s="692"/>
      <c r="G109" s="802"/>
      <c r="H109" s="606"/>
      <c r="I109" s="170" t="s">
        <v>1143</v>
      </c>
      <c r="J109" s="214"/>
      <c r="K109" s="606"/>
      <c r="L109" s="732"/>
      <c r="M109" s="856"/>
      <c r="N109" s="688"/>
      <c r="O109" s="122"/>
      <c r="P109" s="122"/>
      <c r="AH109" s="42" t="n">
        <v>0</v>
      </c>
    </row>
    <row r="110" s="42" customFormat="true" ht="0.75" hidden="true" customHeight="true" outlineLevel="0" collapsed="false">
      <c r="A110" s="136"/>
      <c r="B110" s="136"/>
      <c r="C110" s="340" t="s">
        <v>1151</v>
      </c>
      <c r="D110" s="873"/>
      <c r="E110" s="293"/>
      <c r="F110" s="692"/>
      <c r="G110" s="872"/>
      <c r="H110" s="606"/>
      <c r="I110" s="170"/>
      <c r="J110" s="214"/>
      <c r="K110" s="606"/>
      <c r="L110" s="732"/>
      <c r="M110" s="856"/>
      <c r="N110" s="688"/>
      <c r="O110" s="122"/>
      <c r="P110" s="122"/>
      <c r="AH110" s="42" t="n">
        <v>0</v>
      </c>
    </row>
    <row r="111" s="42" customFormat="true" ht="18.75" hidden="true" customHeight="true" outlineLevel="0" collapsed="false">
      <c r="A111" s="136" t="s">
        <v>202</v>
      </c>
      <c r="B111" s="136" t="s">
        <v>203</v>
      </c>
      <c r="C111" s="340"/>
      <c r="D111" s="873"/>
      <c r="E111" s="293"/>
      <c r="F111" s="692" t="str">
        <f aca="false">INDEX(PT_DIFFERENTIATION_VTAR,MATCH(A111,PT_DIFFERENTIATION_VTAR_ID,0))</f>
        <v>Плата за подключение (технологическое присоединение) к системе теплоснабжения (индивидуальная)</v>
      </c>
      <c r="G111" s="802" t="str">
        <f aca="false">INDEX(PT_DIFFERENTIATION_NTAR,MATCH(B111,PT_DIFFERENTIATION_NTAR_ID,0))</f>
        <v/>
      </c>
      <c r="H111" s="361"/>
      <c r="I111" s="861"/>
      <c r="J111" s="862"/>
      <c r="K111" s="374"/>
      <c r="L111" s="361" t="s">
        <v>303</v>
      </c>
      <c r="M111" s="856"/>
      <c r="N111" s="688"/>
      <c r="O111" s="122"/>
      <c r="P111" s="122"/>
      <c r="AH111" s="42" t="n">
        <v>0</v>
      </c>
    </row>
    <row r="112" s="42" customFormat="true" ht="18.75" hidden="true" customHeight="true" outlineLevel="0" collapsed="false">
      <c r="A112" s="136"/>
      <c r="B112" s="136"/>
      <c r="C112" s="340" t="s">
        <v>1144</v>
      </c>
      <c r="D112" s="873"/>
      <c r="E112" s="293"/>
      <c r="F112" s="692"/>
      <c r="G112" s="802"/>
      <c r="H112" s="606"/>
      <c r="I112" s="170" t="s">
        <v>1143</v>
      </c>
      <c r="J112" s="214"/>
      <c r="K112" s="606"/>
      <c r="L112" s="732"/>
      <c r="M112" s="856"/>
      <c r="N112" s="688"/>
      <c r="O112" s="122"/>
      <c r="P112" s="122"/>
      <c r="AH112" s="42" t="n">
        <v>0</v>
      </c>
    </row>
    <row r="113" s="42" customFormat="true" ht="0.75" hidden="true" customHeight="true" outlineLevel="0" collapsed="false">
      <c r="A113" s="136"/>
      <c r="B113" s="136"/>
      <c r="C113" s="340" t="s">
        <v>1151</v>
      </c>
      <c r="D113" s="873"/>
      <c r="E113" s="293"/>
      <c r="F113" s="692"/>
      <c r="G113" s="872"/>
      <c r="H113" s="606"/>
      <c r="I113" s="170"/>
      <c r="J113" s="214"/>
      <c r="K113" s="606"/>
      <c r="L113" s="732"/>
      <c r="M113" s="856"/>
      <c r="N113" s="688"/>
      <c r="O113" s="122"/>
      <c r="P113" s="122"/>
      <c r="AH113" s="42" t="n">
        <v>0</v>
      </c>
    </row>
    <row r="114" s="42" customFormat="true" ht="18.75" hidden="true" customHeight="true" outlineLevel="0" collapsed="false">
      <c r="A114" s="136" t="s">
        <v>222</v>
      </c>
      <c r="B114" s="136" t="s">
        <v>223</v>
      </c>
      <c r="C114" s="340"/>
      <c r="D114" s="873"/>
      <c r="E114" s="293"/>
      <c r="F114" s="692" t="str">
        <f aca="false">INDEX(PT_DIFFERENTIATION_VTAR,MATCH(A114,PT_DIFFERENTIATION_VTAR_ID,0))</f>
        <v>Тариф на питьевую воду (питьевое водоснабжение)</v>
      </c>
      <c r="G114" s="802" t="str">
        <f aca="false">INDEX(PT_DIFFERENTIATION_NTAR,MATCH(B114,PT_DIFFERENTIATION_NTAR_ID,0))</f>
        <v/>
      </c>
      <c r="H114" s="361"/>
      <c r="I114" s="861"/>
      <c r="J114" s="862"/>
      <c r="K114" s="374"/>
      <c r="L114" s="361" t="s">
        <v>303</v>
      </c>
      <c r="M114" s="856"/>
      <c r="N114" s="688"/>
      <c r="O114" s="122"/>
      <c r="P114" s="122"/>
      <c r="AH114" s="42" t="n">
        <v>0</v>
      </c>
    </row>
    <row r="115" s="42" customFormat="true" ht="18.75" hidden="true" customHeight="true" outlineLevel="0" collapsed="false">
      <c r="A115" s="136"/>
      <c r="B115" s="136"/>
      <c r="C115" s="340" t="s">
        <v>1144</v>
      </c>
      <c r="D115" s="873"/>
      <c r="E115" s="293"/>
      <c r="F115" s="692"/>
      <c r="G115" s="802"/>
      <c r="H115" s="606"/>
      <c r="I115" s="170" t="s">
        <v>1143</v>
      </c>
      <c r="J115" s="214"/>
      <c r="K115" s="606"/>
      <c r="L115" s="732"/>
      <c r="M115" s="856"/>
      <c r="N115" s="688"/>
      <c r="O115" s="122"/>
      <c r="P115" s="122"/>
      <c r="AH115" s="42" t="n">
        <v>0</v>
      </c>
    </row>
    <row r="116" s="42" customFormat="true" ht="0.75" hidden="true" customHeight="true" outlineLevel="0" collapsed="false">
      <c r="A116" s="136"/>
      <c r="B116" s="136"/>
      <c r="C116" s="340" t="s">
        <v>1151</v>
      </c>
      <c r="D116" s="873"/>
      <c r="E116" s="293"/>
      <c r="F116" s="692"/>
      <c r="G116" s="872"/>
      <c r="H116" s="606"/>
      <c r="I116" s="170"/>
      <c r="J116" s="214"/>
      <c r="K116" s="606"/>
      <c r="L116" s="732"/>
      <c r="M116" s="856"/>
      <c r="N116" s="688"/>
      <c r="O116" s="122"/>
      <c r="P116" s="122"/>
      <c r="AH116" s="42" t="n">
        <v>0</v>
      </c>
    </row>
    <row r="117" s="42" customFormat="true" ht="18.75" hidden="true" customHeight="true" outlineLevel="0" collapsed="false">
      <c r="A117" s="136" t="s">
        <v>227</v>
      </c>
      <c r="B117" s="136" t="s">
        <v>228</v>
      </c>
      <c r="C117" s="340"/>
      <c r="D117" s="873"/>
      <c r="E117" s="293"/>
      <c r="F117" s="692" t="str">
        <f aca="false">INDEX(PT_DIFFERENTIATION_VTAR,MATCH(A117,PT_DIFFERENTIATION_VTAR_ID,0))</f>
        <v>Тариф на техническую воду</v>
      </c>
      <c r="G117" s="802" t="str">
        <f aca="false">INDEX(PT_DIFFERENTIATION_NTAR,MATCH(B117,PT_DIFFERENTIATION_NTAR_ID,0))</f>
        <v/>
      </c>
      <c r="H117" s="361"/>
      <c r="I117" s="861"/>
      <c r="J117" s="862"/>
      <c r="K117" s="374"/>
      <c r="L117" s="361" t="s">
        <v>303</v>
      </c>
      <c r="M117" s="856"/>
      <c r="N117" s="688"/>
      <c r="O117" s="122"/>
      <c r="P117" s="122"/>
      <c r="AH117" s="42" t="n">
        <v>0</v>
      </c>
    </row>
    <row r="118" s="42" customFormat="true" ht="18.75" hidden="true" customHeight="true" outlineLevel="0" collapsed="false">
      <c r="A118" s="136"/>
      <c r="B118" s="136"/>
      <c r="C118" s="340" t="s">
        <v>1144</v>
      </c>
      <c r="D118" s="873"/>
      <c r="E118" s="293"/>
      <c r="F118" s="692"/>
      <c r="G118" s="802"/>
      <c r="H118" s="606"/>
      <c r="I118" s="170" t="s">
        <v>1143</v>
      </c>
      <c r="J118" s="214"/>
      <c r="K118" s="606"/>
      <c r="L118" s="732"/>
      <c r="M118" s="856"/>
      <c r="N118" s="688"/>
      <c r="O118" s="122"/>
      <c r="P118" s="122"/>
      <c r="AH118" s="42" t="n">
        <v>0</v>
      </c>
    </row>
    <row r="119" s="42" customFormat="true" ht="0.75" hidden="true" customHeight="true" outlineLevel="0" collapsed="false">
      <c r="A119" s="136"/>
      <c r="B119" s="136"/>
      <c r="C119" s="340" t="s">
        <v>1151</v>
      </c>
      <c r="D119" s="873"/>
      <c r="E119" s="293"/>
      <c r="F119" s="692"/>
      <c r="G119" s="872"/>
      <c r="H119" s="606"/>
      <c r="I119" s="170"/>
      <c r="J119" s="214"/>
      <c r="K119" s="606"/>
      <c r="L119" s="732"/>
      <c r="M119" s="856"/>
      <c r="N119" s="688"/>
      <c r="O119" s="122"/>
      <c r="P119" s="122"/>
      <c r="AH119" s="42" t="n">
        <v>0</v>
      </c>
    </row>
    <row r="120" s="42" customFormat="true" ht="18.75" hidden="true" customHeight="true" outlineLevel="0" collapsed="false">
      <c r="A120" s="136" t="s">
        <v>232</v>
      </c>
      <c r="B120" s="136" t="s">
        <v>233</v>
      </c>
      <c r="C120" s="340"/>
      <c r="D120" s="873"/>
      <c r="E120" s="293"/>
      <c r="F120" s="692" t="str">
        <f aca="false">INDEX(PT_DIFFERENTIATION_VTAR,MATCH(A120,PT_DIFFERENTIATION_VTAR_ID,0))</f>
        <v>Тариф на транспортировку воды</v>
      </c>
      <c r="G120" s="802" t="str">
        <f aca="false">INDEX(PT_DIFFERENTIATION_NTAR,MATCH(B120,PT_DIFFERENTIATION_NTAR_ID,0))</f>
        <v/>
      </c>
      <c r="H120" s="361"/>
      <c r="I120" s="861"/>
      <c r="J120" s="862"/>
      <c r="K120" s="374"/>
      <c r="L120" s="361" t="s">
        <v>303</v>
      </c>
      <c r="M120" s="856"/>
      <c r="N120" s="688"/>
      <c r="O120" s="122"/>
      <c r="P120" s="122"/>
      <c r="AH120" s="42" t="n">
        <v>0</v>
      </c>
    </row>
    <row r="121" s="42" customFormat="true" ht="18.75" hidden="true" customHeight="true" outlineLevel="0" collapsed="false">
      <c r="A121" s="136"/>
      <c r="B121" s="136"/>
      <c r="C121" s="340" t="s">
        <v>1144</v>
      </c>
      <c r="D121" s="873"/>
      <c r="E121" s="293"/>
      <c r="F121" s="692"/>
      <c r="G121" s="802"/>
      <c r="H121" s="606"/>
      <c r="I121" s="170" t="s">
        <v>1143</v>
      </c>
      <c r="J121" s="214"/>
      <c r="K121" s="606"/>
      <c r="L121" s="732"/>
      <c r="M121" s="856"/>
      <c r="N121" s="688"/>
      <c r="O121" s="122"/>
      <c r="P121" s="122"/>
      <c r="AH121" s="42" t="n">
        <v>0</v>
      </c>
    </row>
    <row r="122" s="42" customFormat="true" ht="0.75" hidden="true" customHeight="true" outlineLevel="0" collapsed="false">
      <c r="A122" s="136"/>
      <c r="B122" s="136"/>
      <c r="C122" s="340" t="s">
        <v>1151</v>
      </c>
      <c r="D122" s="873"/>
      <c r="E122" s="293"/>
      <c r="F122" s="692"/>
      <c r="G122" s="872"/>
      <c r="H122" s="606"/>
      <c r="I122" s="170"/>
      <c r="J122" s="214"/>
      <c r="K122" s="606"/>
      <c r="L122" s="732"/>
      <c r="M122" s="856"/>
      <c r="N122" s="688"/>
      <c r="O122" s="122"/>
      <c r="P122" s="122"/>
      <c r="AH122" s="42" t="n">
        <v>0</v>
      </c>
    </row>
    <row r="123" s="42" customFormat="true" ht="18.75" hidden="true" customHeight="true" outlineLevel="0" collapsed="false">
      <c r="A123" s="136" t="s">
        <v>237</v>
      </c>
      <c r="B123" s="136" t="s">
        <v>238</v>
      </c>
      <c r="C123" s="340"/>
      <c r="D123" s="873"/>
      <c r="E123" s="293"/>
      <c r="F123" s="692" t="str">
        <f aca="false">INDEX(PT_DIFFERENTIATION_VTAR,MATCH(A123,PT_DIFFERENTIATION_VTAR_ID,0))</f>
        <v>Тариф на подвоз воды</v>
      </c>
      <c r="G123" s="802" t="str">
        <f aca="false">INDEX(PT_DIFFERENTIATION_NTAR,MATCH(B123,PT_DIFFERENTIATION_NTAR_ID,0))</f>
        <v/>
      </c>
      <c r="H123" s="361"/>
      <c r="I123" s="861"/>
      <c r="J123" s="862"/>
      <c r="K123" s="374"/>
      <c r="L123" s="361" t="s">
        <v>303</v>
      </c>
      <c r="M123" s="856"/>
      <c r="N123" s="688"/>
      <c r="O123" s="122"/>
      <c r="P123" s="122"/>
      <c r="AH123" s="42" t="n">
        <v>0</v>
      </c>
    </row>
    <row r="124" s="42" customFormat="true" ht="18.75" hidden="true" customHeight="true" outlineLevel="0" collapsed="false">
      <c r="A124" s="136"/>
      <c r="B124" s="136"/>
      <c r="C124" s="340" t="s">
        <v>1144</v>
      </c>
      <c r="D124" s="873"/>
      <c r="E124" s="293"/>
      <c r="F124" s="692"/>
      <c r="G124" s="802"/>
      <c r="H124" s="606"/>
      <c r="I124" s="170" t="s">
        <v>1143</v>
      </c>
      <c r="J124" s="214"/>
      <c r="K124" s="606"/>
      <c r="L124" s="732"/>
      <c r="M124" s="856"/>
      <c r="N124" s="688"/>
      <c r="O124" s="122"/>
      <c r="P124" s="122"/>
      <c r="AH124" s="42" t="n">
        <v>0</v>
      </c>
    </row>
    <row r="125" s="42" customFormat="true" ht="0.75" hidden="true" customHeight="true" outlineLevel="0" collapsed="false">
      <c r="A125" s="136"/>
      <c r="B125" s="136"/>
      <c r="C125" s="340" t="s">
        <v>1151</v>
      </c>
      <c r="D125" s="873"/>
      <c r="E125" s="293"/>
      <c r="F125" s="692"/>
      <c r="G125" s="872"/>
      <c r="H125" s="606"/>
      <c r="I125" s="170"/>
      <c r="J125" s="214"/>
      <c r="K125" s="606"/>
      <c r="L125" s="732"/>
      <c r="M125" s="856"/>
      <c r="N125" s="688"/>
      <c r="O125" s="122"/>
      <c r="P125" s="122"/>
      <c r="AH125" s="42" t="n">
        <v>0</v>
      </c>
    </row>
    <row r="126" s="42" customFormat="true" ht="18.75" hidden="true" customHeight="true" outlineLevel="0" collapsed="false">
      <c r="A126" s="136" t="s">
        <v>242</v>
      </c>
      <c r="B126" s="136" t="s">
        <v>243</v>
      </c>
      <c r="C126" s="340"/>
      <c r="D126" s="873"/>
      <c r="E126" s="293"/>
      <c r="F126" s="692" t="str">
        <f aca="false">INDEX(PT_DIFFERENTIATION_VTAR,MATCH(A126,PT_DIFFERENTIATION_VTAR_ID,0))</f>
        <v>Тариф на подключение (технологическое присоединение) к централизованной системе холодного водоснабжения</v>
      </c>
      <c r="G126" s="802" t="str">
        <f aca="false">INDEX(PT_DIFFERENTIATION_NTAR,MATCH(B126,PT_DIFFERENTIATION_NTAR_ID,0))</f>
        <v/>
      </c>
      <c r="H126" s="361"/>
      <c r="I126" s="861"/>
      <c r="J126" s="862"/>
      <c r="K126" s="374"/>
      <c r="L126" s="361" t="s">
        <v>303</v>
      </c>
      <c r="M126" s="856"/>
      <c r="N126" s="688"/>
      <c r="O126" s="122"/>
      <c r="P126" s="122"/>
      <c r="AH126" s="42" t="n">
        <v>0</v>
      </c>
    </row>
    <row r="127" s="42" customFormat="true" ht="18.75" hidden="true" customHeight="true" outlineLevel="0" collapsed="false">
      <c r="A127" s="136"/>
      <c r="B127" s="136"/>
      <c r="C127" s="340" t="s">
        <v>1144</v>
      </c>
      <c r="D127" s="873"/>
      <c r="E127" s="293"/>
      <c r="F127" s="692"/>
      <c r="G127" s="802"/>
      <c r="H127" s="606"/>
      <c r="I127" s="170" t="s">
        <v>1143</v>
      </c>
      <c r="J127" s="214"/>
      <c r="K127" s="606"/>
      <c r="L127" s="732"/>
      <c r="M127" s="856"/>
      <c r="N127" s="688"/>
      <c r="O127" s="122"/>
      <c r="P127" s="122"/>
      <c r="AH127" s="42" t="n">
        <v>0</v>
      </c>
    </row>
    <row r="128" s="42" customFormat="true" ht="0.75" hidden="true" customHeight="true" outlineLevel="0" collapsed="false">
      <c r="A128" s="136"/>
      <c r="B128" s="136"/>
      <c r="C128" s="340" t="s">
        <v>1151</v>
      </c>
      <c r="D128" s="873"/>
      <c r="E128" s="293"/>
      <c r="F128" s="692"/>
      <c r="G128" s="872"/>
      <c r="H128" s="606"/>
      <c r="I128" s="170"/>
      <c r="J128" s="214"/>
      <c r="K128" s="606"/>
      <c r="L128" s="732"/>
      <c r="M128" s="856"/>
      <c r="N128" s="688"/>
      <c r="O128" s="122"/>
      <c r="P128" s="122"/>
      <c r="AH128" s="42" t="n">
        <v>0</v>
      </c>
    </row>
    <row r="129" s="42" customFormat="true" ht="18.75" hidden="true" customHeight="true" outlineLevel="0" collapsed="false">
      <c r="A129" s="136" t="s">
        <v>247</v>
      </c>
      <c r="B129" s="136" t="s">
        <v>248</v>
      </c>
      <c r="C129" s="340"/>
      <c r="D129" s="873"/>
      <c r="E129" s="293"/>
      <c r="F129" s="692" t="str">
        <f aca="false">INDEX(PT_DIFFERENTIATION_VTAR,MATCH(A129,PT_DIFFERENTIATION_VTAR_ID,0))</f>
        <v>Тариф на горячую воду (горячее водоснабжение)</v>
      </c>
      <c r="G129" s="802" t="str">
        <f aca="false">INDEX(PT_DIFFERENTIATION_NTAR,MATCH(B129,PT_DIFFERENTIATION_NTAR_ID,0))</f>
        <v/>
      </c>
      <c r="H129" s="361"/>
      <c r="I129" s="861"/>
      <c r="J129" s="862"/>
      <c r="K129" s="374"/>
      <c r="L129" s="361" t="s">
        <v>303</v>
      </c>
      <c r="M129" s="856"/>
      <c r="N129" s="688"/>
      <c r="O129" s="122"/>
      <c r="P129" s="122"/>
      <c r="AH129" s="42" t="n">
        <v>0</v>
      </c>
    </row>
    <row r="130" s="42" customFormat="true" ht="18.75" hidden="true" customHeight="true" outlineLevel="0" collapsed="false">
      <c r="A130" s="136"/>
      <c r="B130" s="136"/>
      <c r="C130" s="340" t="s">
        <v>1144</v>
      </c>
      <c r="D130" s="873"/>
      <c r="E130" s="293"/>
      <c r="F130" s="692"/>
      <c r="G130" s="802"/>
      <c r="H130" s="606"/>
      <c r="I130" s="170" t="s">
        <v>1143</v>
      </c>
      <c r="J130" s="214"/>
      <c r="K130" s="606"/>
      <c r="L130" s="732"/>
      <c r="M130" s="856"/>
      <c r="N130" s="688"/>
      <c r="O130" s="122"/>
      <c r="P130" s="122"/>
      <c r="AH130" s="42" t="n">
        <v>0</v>
      </c>
    </row>
    <row r="131" s="42" customFormat="true" ht="0.75" hidden="true" customHeight="true" outlineLevel="0" collapsed="false">
      <c r="A131" s="136"/>
      <c r="B131" s="136"/>
      <c r="C131" s="340" t="s">
        <v>1151</v>
      </c>
      <c r="D131" s="873"/>
      <c r="E131" s="293"/>
      <c r="F131" s="692"/>
      <c r="G131" s="872"/>
      <c r="H131" s="606"/>
      <c r="I131" s="170"/>
      <c r="J131" s="214"/>
      <c r="K131" s="606"/>
      <c r="L131" s="732"/>
      <c r="M131" s="856"/>
      <c r="N131" s="688"/>
      <c r="O131" s="122"/>
      <c r="P131" s="122"/>
      <c r="AH131" s="42" t="n">
        <v>0</v>
      </c>
    </row>
    <row r="132" s="42" customFormat="true" ht="18.75" hidden="true" customHeight="true" outlineLevel="0" collapsed="false">
      <c r="A132" s="136" t="s">
        <v>252</v>
      </c>
      <c r="B132" s="136" t="s">
        <v>253</v>
      </c>
      <c r="C132" s="340"/>
      <c r="D132" s="873"/>
      <c r="E132" s="293"/>
      <c r="F132" s="692" t="str">
        <f aca="false">INDEX(PT_DIFFERENTIATION_VTAR,MATCH(A132,PT_DIFFERENTIATION_VTAR_ID,0))</f>
        <v>Тариф на транспортировку горячей воды</v>
      </c>
      <c r="G132" s="802" t="str">
        <f aca="false">INDEX(PT_DIFFERENTIATION_NTAR,MATCH(B132,PT_DIFFERENTIATION_NTAR_ID,0))</f>
        <v/>
      </c>
      <c r="H132" s="361"/>
      <c r="I132" s="861"/>
      <c r="J132" s="862"/>
      <c r="K132" s="374"/>
      <c r="L132" s="361" t="s">
        <v>303</v>
      </c>
      <c r="M132" s="856"/>
      <c r="N132" s="688"/>
      <c r="O132" s="122"/>
      <c r="P132" s="122"/>
      <c r="AH132" s="42" t="n">
        <v>0</v>
      </c>
    </row>
    <row r="133" s="42" customFormat="true" ht="18.75" hidden="true" customHeight="true" outlineLevel="0" collapsed="false">
      <c r="A133" s="136"/>
      <c r="B133" s="136"/>
      <c r="C133" s="340" t="s">
        <v>1144</v>
      </c>
      <c r="D133" s="873"/>
      <c r="E133" s="293"/>
      <c r="F133" s="692"/>
      <c r="G133" s="802"/>
      <c r="H133" s="606"/>
      <c r="I133" s="170" t="s">
        <v>1143</v>
      </c>
      <c r="J133" s="214"/>
      <c r="K133" s="606"/>
      <c r="L133" s="732"/>
      <c r="M133" s="856"/>
      <c r="N133" s="688"/>
      <c r="O133" s="122"/>
      <c r="P133" s="122"/>
      <c r="AH133" s="42" t="n">
        <v>0</v>
      </c>
    </row>
    <row r="134" s="42" customFormat="true" ht="0.75" hidden="true" customHeight="true" outlineLevel="0" collapsed="false">
      <c r="A134" s="136"/>
      <c r="B134" s="136"/>
      <c r="C134" s="340" t="s">
        <v>1151</v>
      </c>
      <c r="D134" s="873"/>
      <c r="E134" s="293"/>
      <c r="F134" s="692"/>
      <c r="G134" s="872"/>
      <c r="H134" s="606"/>
      <c r="I134" s="170"/>
      <c r="J134" s="214"/>
      <c r="K134" s="606"/>
      <c r="L134" s="732"/>
      <c r="M134" s="856"/>
      <c r="N134" s="688"/>
      <c r="O134" s="122"/>
      <c r="P134" s="122"/>
      <c r="AH134" s="42" t="n">
        <v>0</v>
      </c>
    </row>
    <row r="135" s="42" customFormat="true" ht="18.75" hidden="true" customHeight="true" outlineLevel="0" collapsed="false">
      <c r="A135" s="136" t="s">
        <v>257</v>
      </c>
      <c r="B135" s="136" t="s">
        <v>258</v>
      </c>
      <c r="C135" s="340"/>
      <c r="D135" s="873"/>
      <c r="E135" s="293"/>
      <c r="F135" s="692" t="str">
        <f aca="false">INDEX(PT_DIFFERENTIATION_VTAR,MATCH(A135,PT_DIFFERENTIATION_VTAR_ID,0))</f>
        <v>Тариф на подключение (технологическое присоединение) к централизованной системе горячего водоснабжения</v>
      </c>
      <c r="G135" s="802" t="str">
        <f aca="false">INDEX(PT_DIFFERENTIATION_NTAR,MATCH(B135,PT_DIFFERENTIATION_NTAR_ID,0))</f>
        <v/>
      </c>
      <c r="H135" s="361"/>
      <c r="I135" s="861"/>
      <c r="J135" s="862"/>
      <c r="K135" s="374"/>
      <c r="L135" s="361" t="s">
        <v>303</v>
      </c>
      <c r="M135" s="856"/>
      <c r="N135" s="688"/>
      <c r="O135" s="122"/>
      <c r="P135" s="122"/>
      <c r="AH135" s="42" t="n">
        <v>0</v>
      </c>
    </row>
    <row r="136" s="42" customFormat="true" ht="18.75" hidden="true" customHeight="true" outlineLevel="0" collapsed="false">
      <c r="A136" s="136"/>
      <c r="B136" s="136"/>
      <c r="C136" s="340" t="s">
        <v>1144</v>
      </c>
      <c r="D136" s="873"/>
      <c r="E136" s="293"/>
      <c r="F136" s="692"/>
      <c r="G136" s="802"/>
      <c r="H136" s="606"/>
      <c r="I136" s="170" t="s">
        <v>1143</v>
      </c>
      <c r="J136" s="214"/>
      <c r="K136" s="606"/>
      <c r="L136" s="732"/>
      <c r="M136" s="856"/>
      <c r="N136" s="688"/>
      <c r="O136" s="122"/>
      <c r="P136" s="122"/>
      <c r="AH136" s="42" t="n">
        <v>0</v>
      </c>
    </row>
    <row r="137" s="42" customFormat="true" ht="0.75" hidden="true" customHeight="true" outlineLevel="0" collapsed="false">
      <c r="A137" s="136"/>
      <c r="B137" s="136"/>
      <c r="C137" s="340" t="s">
        <v>1151</v>
      </c>
      <c r="D137" s="873"/>
      <c r="E137" s="293"/>
      <c r="F137" s="692"/>
      <c r="G137" s="872"/>
      <c r="H137" s="606"/>
      <c r="I137" s="170"/>
      <c r="J137" s="214"/>
      <c r="K137" s="606"/>
      <c r="L137" s="732"/>
      <c r="M137" s="856"/>
      <c r="N137" s="688"/>
      <c r="O137" s="122"/>
      <c r="P137" s="122"/>
      <c r="AH137" s="42" t="n">
        <v>0</v>
      </c>
    </row>
    <row r="138" s="42" customFormat="true" ht="18.75" hidden="true" customHeight="true" outlineLevel="0" collapsed="false">
      <c r="A138" s="136" t="s">
        <v>262</v>
      </c>
      <c r="B138" s="136" t="s">
        <v>263</v>
      </c>
      <c r="C138" s="340"/>
      <c r="D138" s="873"/>
      <c r="E138" s="293"/>
      <c r="F138" s="692" t="str">
        <f aca="false">INDEX(PT_DIFFERENTIATION_VTAR,MATCH(A138,PT_DIFFERENTIATION_VTAR_ID,0))</f>
        <v>Тариф на водоотведение</v>
      </c>
      <c r="G138" s="802" t="str">
        <f aca="false">INDEX(PT_DIFFERENTIATION_NTAR,MATCH(B138,PT_DIFFERENTIATION_NTAR_ID,0))</f>
        <v/>
      </c>
      <c r="H138" s="361"/>
      <c r="I138" s="861"/>
      <c r="J138" s="862"/>
      <c r="K138" s="374"/>
      <c r="L138" s="361" t="s">
        <v>303</v>
      </c>
      <c r="M138" s="856"/>
      <c r="N138" s="688"/>
      <c r="O138" s="122"/>
      <c r="P138" s="122"/>
      <c r="AH138" s="42" t="n">
        <v>0</v>
      </c>
    </row>
    <row r="139" s="42" customFormat="true" ht="18.75" hidden="true" customHeight="true" outlineLevel="0" collapsed="false">
      <c r="A139" s="136"/>
      <c r="B139" s="136"/>
      <c r="C139" s="340" t="s">
        <v>1144</v>
      </c>
      <c r="D139" s="873"/>
      <c r="E139" s="293"/>
      <c r="F139" s="692"/>
      <c r="G139" s="802"/>
      <c r="H139" s="606"/>
      <c r="I139" s="170" t="s">
        <v>1143</v>
      </c>
      <c r="J139" s="214"/>
      <c r="K139" s="606"/>
      <c r="L139" s="732"/>
      <c r="M139" s="856"/>
      <c r="N139" s="688"/>
      <c r="O139" s="122"/>
      <c r="P139" s="122"/>
      <c r="AH139" s="42" t="n">
        <v>0</v>
      </c>
    </row>
    <row r="140" s="42" customFormat="true" ht="0.75" hidden="true" customHeight="true" outlineLevel="0" collapsed="false">
      <c r="A140" s="136"/>
      <c r="B140" s="136"/>
      <c r="C140" s="340" t="s">
        <v>1151</v>
      </c>
      <c r="D140" s="873"/>
      <c r="E140" s="293"/>
      <c r="F140" s="692"/>
      <c r="G140" s="872"/>
      <c r="H140" s="606"/>
      <c r="I140" s="170"/>
      <c r="J140" s="214"/>
      <c r="K140" s="606"/>
      <c r="L140" s="732"/>
      <c r="M140" s="856"/>
      <c r="N140" s="688"/>
      <c r="O140" s="122"/>
      <c r="P140" s="122"/>
      <c r="AH140" s="42" t="n">
        <v>0</v>
      </c>
    </row>
    <row r="141" s="42" customFormat="true" ht="18.75" hidden="true" customHeight="true" outlineLevel="0" collapsed="false">
      <c r="A141" s="136" t="s">
        <v>267</v>
      </c>
      <c r="B141" s="136" t="s">
        <v>268</v>
      </c>
      <c r="C141" s="340"/>
      <c r="D141" s="873"/>
      <c r="E141" s="293"/>
      <c r="F141" s="692" t="str">
        <f aca="false">INDEX(PT_DIFFERENTIATION_VTAR,MATCH(A141,PT_DIFFERENTIATION_VTAR_ID,0))</f>
        <v>Тариф на транспортировку сточных вод</v>
      </c>
      <c r="G141" s="802" t="str">
        <f aca="false">INDEX(PT_DIFFERENTIATION_NTAR,MATCH(B141,PT_DIFFERENTIATION_NTAR_ID,0))</f>
        <v/>
      </c>
      <c r="H141" s="361"/>
      <c r="I141" s="861"/>
      <c r="J141" s="862"/>
      <c r="K141" s="374"/>
      <c r="L141" s="361" t="s">
        <v>303</v>
      </c>
      <c r="M141" s="856"/>
      <c r="N141" s="688"/>
      <c r="O141" s="122"/>
      <c r="P141" s="122"/>
      <c r="AH141" s="42" t="n">
        <v>0</v>
      </c>
    </row>
    <row r="142" s="42" customFormat="true" ht="18.75" hidden="true" customHeight="true" outlineLevel="0" collapsed="false">
      <c r="A142" s="136"/>
      <c r="B142" s="136"/>
      <c r="C142" s="340" t="s">
        <v>1144</v>
      </c>
      <c r="D142" s="873"/>
      <c r="E142" s="293"/>
      <c r="F142" s="692"/>
      <c r="G142" s="802"/>
      <c r="H142" s="606"/>
      <c r="I142" s="170" t="s">
        <v>1143</v>
      </c>
      <c r="J142" s="214"/>
      <c r="K142" s="606"/>
      <c r="L142" s="732"/>
      <c r="M142" s="856"/>
      <c r="N142" s="688"/>
      <c r="O142" s="122"/>
      <c r="P142" s="122"/>
      <c r="AH142" s="42" t="n">
        <v>0</v>
      </c>
    </row>
    <row r="143" s="42" customFormat="true" ht="0.75" hidden="true" customHeight="true" outlineLevel="0" collapsed="false">
      <c r="A143" s="136"/>
      <c r="B143" s="136"/>
      <c r="C143" s="340" t="s">
        <v>1151</v>
      </c>
      <c r="D143" s="873"/>
      <c r="E143" s="293"/>
      <c r="F143" s="692"/>
      <c r="G143" s="872"/>
      <c r="H143" s="606"/>
      <c r="I143" s="170"/>
      <c r="J143" s="214"/>
      <c r="K143" s="606"/>
      <c r="L143" s="732"/>
      <c r="M143" s="856"/>
      <c r="N143" s="688"/>
      <c r="O143" s="122"/>
      <c r="P143" s="122"/>
      <c r="AH143" s="42" t="n">
        <v>0</v>
      </c>
    </row>
    <row r="144" s="42" customFormat="true" ht="18.75" hidden="true" customHeight="true" outlineLevel="0" collapsed="false">
      <c r="A144" s="136" t="s">
        <v>272</v>
      </c>
      <c r="B144" s="136" t="s">
        <v>273</v>
      </c>
      <c r="C144" s="340"/>
      <c r="D144" s="873"/>
      <c r="E144" s="293"/>
      <c r="F144" s="692" t="str">
        <f aca="false">INDEX(PT_DIFFERENTIATION_VTAR,MATCH(A144,PT_DIFFERENTIATION_VTAR_ID,0))</f>
        <v>Тариф на подключение (технологическое присоединение) к централизованной системе водоотведения</v>
      </c>
      <c r="G144" s="802" t="str">
        <f aca="false">INDEX(PT_DIFFERENTIATION_NTAR,MATCH(B144,PT_DIFFERENTIATION_NTAR_ID,0))</f>
        <v/>
      </c>
      <c r="H144" s="361"/>
      <c r="I144" s="861"/>
      <c r="J144" s="862"/>
      <c r="K144" s="374"/>
      <c r="L144" s="361" t="s">
        <v>303</v>
      </c>
      <c r="M144" s="856"/>
      <c r="N144" s="688"/>
      <c r="O144" s="122"/>
      <c r="P144" s="122"/>
      <c r="AH144" s="42" t="n">
        <v>0</v>
      </c>
    </row>
    <row r="145" s="42" customFormat="true" ht="18.75" hidden="true" customHeight="true" outlineLevel="0" collapsed="false">
      <c r="A145" s="136"/>
      <c r="B145" s="136"/>
      <c r="C145" s="340" t="s">
        <v>1144</v>
      </c>
      <c r="D145" s="873"/>
      <c r="E145" s="293"/>
      <c r="F145" s="692"/>
      <c r="G145" s="802"/>
      <c r="H145" s="606"/>
      <c r="I145" s="170" t="s">
        <v>1143</v>
      </c>
      <c r="J145" s="214"/>
      <c r="K145" s="606"/>
      <c r="L145" s="732"/>
      <c r="M145" s="856"/>
      <c r="N145" s="688"/>
      <c r="O145" s="122"/>
      <c r="P145" s="122"/>
      <c r="AH145" s="42" t="n">
        <v>0</v>
      </c>
    </row>
    <row r="146" s="42" customFormat="true" ht="0.75" hidden="false" customHeight="true" outlineLevel="0" collapsed="false">
      <c r="A146" s="136"/>
      <c r="B146" s="136"/>
      <c r="C146" s="340" t="s">
        <v>1151</v>
      </c>
      <c r="D146" s="873"/>
      <c r="E146" s="293"/>
      <c r="F146" s="692"/>
      <c r="G146" s="872"/>
      <c r="H146" s="606"/>
      <c r="I146" s="170"/>
      <c r="J146" s="214"/>
      <c r="K146" s="606"/>
      <c r="L146" s="732"/>
      <c r="M146" s="856"/>
      <c r="N146" s="688"/>
      <c r="O146" s="122"/>
      <c r="P146" s="122"/>
      <c r="AH146" s="42" t="n">
        <v>1</v>
      </c>
    </row>
    <row r="147" customFormat="false" ht="19.5" hidden="false" customHeight="true" outlineLevel="0" collapsed="false">
      <c r="A147" s="136"/>
      <c r="B147" s="136"/>
      <c r="D147" s="470"/>
      <c r="E147" s="293" t="s">
        <v>89</v>
      </c>
      <c r="F147" s="876" t="str">
        <f aca="false">"Годовой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876"/>
      <c r="H147" s="876"/>
      <c r="I147" s="876"/>
      <c r="J147" s="876"/>
      <c r="K147" s="876"/>
      <c r="L147" s="876"/>
      <c r="M147" s="726"/>
      <c r="N147" s="688"/>
      <c r="AH147" s="42" t="n">
        <v>19</v>
      </c>
    </row>
    <row r="148" s="42" customFormat="true" ht="60.75" hidden="true" customHeight="true" outlineLevel="0" collapsed="false">
      <c r="A148" s="136" t="s">
        <v>154</v>
      </c>
      <c r="B148" s="136" t="s">
        <v>155</v>
      </c>
      <c r="C148" s="340"/>
      <c r="D148" s="873"/>
      <c r="E148" s="293"/>
      <c r="F148" s="692" t="str">
        <f aca="false">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802" t="str">
        <f aca="false">INDEX(PT_DIFFERENTIATION_NTAR,MATCH(B148,PT_DIFFERENTIATION_NTAR_ID,0))</f>
        <v/>
      </c>
      <c r="H148" s="361"/>
      <c r="I148" s="861"/>
      <c r="J148" s="862"/>
      <c r="K148" s="374"/>
      <c r="L148" s="361" t="s">
        <v>303</v>
      </c>
      <c r="M148" s="84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688"/>
      <c r="O148" s="122"/>
      <c r="P148" s="122"/>
      <c r="AH148" s="42" t="n">
        <v>0</v>
      </c>
    </row>
    <row r="149" s="42" customFormat="true" ht="18.75" hidden="true" customHeight="true" outlineLevel="0" collapsed="false">
      <c r="A149" s="136"/>
      <c r="B149" s="136"/>
      <c r="C149" s="340" t="s">
        <v>1144</v>
      </c>
      <c r="D149" s="873"/>
      <c r="E149" s="293"/>
      <c r="F149" s="692"/>
      <c r="G149" s="802"/>
      <c r="H149" s="606"/>
      <c r="I149" s="170" t="s">
        <v>1143</v>
      </c>
      <c r="J149" s="214"/>
      <c r="K149" s="606"/>
      <c r="L149" s="732"/>
      <c r="M149" s="844"/>
      <c r="N149" s="688"/>
      <c r="O149" s="122"/>
      <c r="P149" s="122"/>
      <c r="AH149" s="42" t="n">
        <v>0</v>
      </c>
    </row>
    <row r="150" s="42" customFormat="true" ht="0.75" hidden="true" customHeight="true" outlineLevel="0" collapsed="false">
      <c r="A150" s="136"/>
      <c r="B150" s="136"/>
      <c r="C150" s="340" t="s">
        <v>1151</v>
      </c>
      <c r="D150" s="873"/>
      <c r="E150" s="293"/>
      <c r="F150" s="692"/>
      <c r="G150" s="872"/>
      <c r="H150" s="606"/>
      <c r="I150" s="170"/>
      <c r="J150" s="214"/>
      <c r="K150" s="606"/>
      <c r="L150" s="732"/>
      <c r="M150" s="844"/>
      <c r="N150" s="688"/>
      <c r="O150" s="122"/>
      <c r="P150" s="122"/>
      <c r="AH150" s="42" t="n">
        <v>0</v>
      </c>
    </row>
    <row r="151" s="42" customFormat="true" ht="45" hidden="true" customHeight="true" outlineLevel="0" collapsed="false">
      <c r="A151" s="136" t="s">
        <v>159</v>
      </c>
      <c r="B151" s="136" t="s">
        <v>160</v>
      </c>
      <c r="C151" s="340"/>
      <c r="D151" s="873"/>
      <c r="E151" s="293"/>
      <c r="F151" s="692" t="str">
        <f aca="false">INDEX(PT_DIFFERENTIATION_VTAR,MATCH(A151,PT_DIFFERENTIATION_VTAR_ID,0))</f>
        <v/>
      </c>
      <c r="G151" s="802" t="str">
        <f aca="false">INDEX(PT_DIFFERENTIATION_NTAR,MATCH(B151,PT_DIFFERENTIATION_NTAR_ID,0))</f>
        <v/>
      </c>
      <c r="H151" s="361"/>
      <c r="I151" s="861"/>
      <c r="J151" s="862"/>
      <c r="K151" s="374"/>
      <c r="L151" s="361" t="s">
        <v>303</v>
      </c>
      <c r="M151" s="844"/>
      <c r="N151" s="688"/>
      <c r="O151" s="122"/>
      <c r="P151" s="122"/>
      <c r="AH151" s="42" t="n">
        <v>0</v>
      </c>
    </row>
    <row r="152" s="42" customFormat="true" ht="18.75" hidden="true" customHeight="true" outlineLevel="0" collapsed="false">
      <c r="A152" s="136"/>
      <c r="B152" s="136"/>
      <c r="C152" s="340" t="s">
        <v>1144</v>
      </c>
      <c r="D152" s="873"/>
      <c r="E152" s="293"/>
      <c r="F152" s="692"/>
      <c r="G152" s="802"/>
      <c r="H152" s="606"/>
      <c r="I152" s="170" t="s">
        <v>1143</v>
      </c>
      <c r="J152" s="214"/>
      <c r="K152" s="606"/>
      <c r="L152" s="732"/>
      <c r="M152" s="878"/>
      <c r="N152" s="688"/>
      <c r="O152" s="122"/>
      <c r="P152" s="122"/>
      <c r="AH152" s="42" t="n">
        <v>0</v>
      </c>
    </row>
    <row r="153" s="42" customFormat="true" ht="0.75" hidden="true" customHeight="true" outlineLevel="0" collapsed="false">
      <c r="A153" s="136"/>
      <c r="B153" s="136"/>
      <c r="C153" s="340" t="s">
        <v>1151</v>
      </c>
      <c r="D153" s="873"/>
      <c r="E153" s="293"/>
      <c r="F153" s="692"/>
      <c r="G153" s="872"/>
      <c r="H153" s="606"/>
      <c r="I153" s="170"/>
      <c r="J153" s="214"/>
      <c r="K153" s="606"/>
      <c r="L153" s="732"/>
      <c r="M153" s="856"/>
      <c r="N153" s="688"/>
      <c r="O153" s="122"/>
      <c r="P153" s="122"/>
      <c r="AH153" s="42" t="n">
        <v>0</v>
      </c>
    </row>
    <row r="154" s="42" customFormat="true" ht="45" hidden="true" customHeight="true" outlineLevel="0" collapsed="false">
      <c r="A154" s="136" t="s">
        <v>166</v>
      </c>
      <c r="B154" s="136" t="s">
        <v>167</v>
      </c>
      <c r="C154" s="340"/>
      <c r="D154" s="873"/>
      <c r="E154" s="293"/>
      <c r="F154" s="692" t="str">
        <f aca="false">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802" t="str">
        <f aca="false">INDEX(PT_DIFFERENTIATION_NTAR,MATCH(B154,PT_DIFFERENTIATION_NTAR_ID,0))</f>
        <v/>
      </c>
      <c r="H154" s="361"/>
      <c r="I154" s="861"/>
      <c r="J154" s="862"/>
      <c r="K154" s="374"/>
      <c r="L154" s="361" t="s">
        <v>303</v>
      </c>
      <c r="M154" s="856"/>
      <c r="N154" s="688"/>
      <c r="O154" s="122"/>
      <c r="P154" s="122"/>
      <c r="AH154" s="42" t="n">
        <v>0</v>
      </c>
    </row>
    <row r="155" s="42" customFormat="true" ht="18.75" hidden="true" customHeight="true" outlineLevel="0" collapsed="false">
      <c r="A155" s="136"/>
      <c r="B155" s="136"/>
      <c r="C155" s="340" t="s">
        <v>1144</v>
      </c>
      <c r="D155" s="873"/>
      <c r="E155" s="293"/>
      <c r="F155" s="692"/>
      <c r="G155" s="802"/>
      <c r="H155" s="606"/>
      <c r="I155" s="170" t="s">
        <v>1143</v>
      </c>
      <c r="J155" s="214"/>
      <c r="K155" s="606"/>
      <c r="L155" s="732"/>
      <c r="M155" s="856"/>
      <c r="N155" s="688"/>
      <c r="O155" s="122"/>
      <c r="P155" s="122"/>
      <c r="AH155" s="42" t="n">
        <v>0</v>
      </c>
    </row>
    <row r="156" s="42" customFormat="true" ht="0.75" hidden="true" customHeight="true" outlineLevel="0" collapsed="false">
      <c r="A156" s="136"/>
      <c r="B156" s="136"/>
      <c r="C156" s="340" t="s">
        <v>1151</v>
      </c>
      <c r="D156" s="873"/>
      <c r="E156" s="293"/>
      <c r="F156" s="692"/>
      <c r="G156" s="872"/>
      <c r="H156" s="606"/>
      <c r="I156" s="170"/>
      <c r="J156" s="214"/>
      <c r="K156" s="606"/>
      <c r="L156" s="732"/>
      <c r="M156" s="856"/>
      <c r="N156" s="688"/>
      <c r="O156" s="122"/>
      <c r="P156" s="122"/>
      <c r="AH156" s="42" t="n">
        <v>0</v>
      </c>
    </row>
    <row r="157" s="42" customFormat="true" ht="45" hidden="true" customHeight="true" outlineLevel="0" collapsed="false">
      <c r="A157" s="136" t="s">
        <v>172</v>
      </c>
      <c r="B157" s="136" t="s">
        <v>173</v>
      </c>
      <c r="C157" s="340"/>
      <c r="D157" s="873"/>
      <c r="E157" s="293"/>
      <c r="F157" s="692" t="str">
        <f aca="false">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802" t="str">
        <f aca="false">INDEX(PT_DIFFERENTIATION_NTAR,MATCH(B157,PT_DIFFERENTIATION_NTAR_ID,0))</f>
        <v/>
      </c>
      <c r="H157" s="361"/>
      <c r="I157" s="861"/>
      <c r="J157" s="862"/>
      <c r="K157" s="374"/>
      <c r="L157" s="361" t="s">
        <v>303</v>
      </c>
      <c r="M157" s="856"/>
      <c r="N157" s="688"/>
      <c r="O157" s="122"/>
      <c r="P157" s="122"/>
      <c r="AH157" s="42" t="n">
        <v>0</v>
      </c>
    </row>
    <row r="158" s="42" customFormat="true" ht="18.75" hidden="true" customHeight="true" outlineLevel="0" collapsed="false">
      <c r="A158" s="136"/>
      <c r="B158" s="136"/>
      <c r="C158" s="340" t="s">
        <v>1144</v>
      </c>
      <c r="D158" s="873"/>
      <c r="E158" s="293"/>
      <c r="F158" s="692"/>
      <c r="G158" s="802"/>
      <c r="H158" s="606"/>
      <c r="I158" s="170" t="s">
        <v>1143</v>
      </c>
      <c r="J158" s="214"/>
      <c r="K158" s="606"/>
      <c r="L158" s="732"/>
      <c r="M158" s="856"/>
      <c r="N158" s="688"/>
      <c r="O158" s="122"/>
      <c r="P158" s="122"/>
      <c r="AH158" s="42" t="n">
        <v>0</v>
      </c>
    </row>
    <row r="159" s="42" customFormat="true" ht="0.75" hidden="true" customHeight="true" outlineLevel="0" collapsed="false">
      <c r="A159" s="136"/>
      <c r="B159" s="136"/>
      <c r="C159" s="340" t="s">
        <v>1151</v>
      </c>
      <c r="D159" s="873"/>
      <c r="E159" s="293"/>
      <c r="F159" s="692"/>
      <c r="G159" s="872"/>
      <c r="H159" s="606"/>
      <c r="I159" s="170"/>
      <c r="J159" s="214"/>
      <c r="K159" s="606"/>
      <c r="L159" s="732"/>
      <c r="M159" s="856"/>
      <c r="N159" s="688"/>
      <c r="O159" s="122"/>
      <c r="P159" s="122"/>
      <c r="AH159" s="42" t="n">
        <v>0</v>
      </c>
    </row>
    <row r="160" s="42" customFormat="true" ht="18.75" hidden="true" customHeight="true" outlineLevel="0" collapsed="false">
      <c r="A160" s="136" t="s">
        <v>178</v>
      </c>
      <c r="B160" s="136" t="s">
        <v>179</v>
      </c>
      <c r="C160" s="340"/>
      <c r="D160" s="873"/>
      <c r="E160" s="293"/>
      <c r="F160" s="692" t="str">
        <f aca="false">INDEX(PT_DIFFERENTIATION_VTAR,MATCH(A160,PT_DIFFERENTIATION_VTAR_ID,0))</f>
        <v>Тарифы на услуги по передаче тепловой энергии</v>
      </c>
      <c r="G160" s="802" t="str">
        <f aca="false">INDEX(PT_DIFFERENTIATION_NTAR,MATCH(B160,PT_DIFFERENTIATION_NTAR_ID,0))</f>
        <v/>
      </c>
      <c r="H160" s="361"/>
      <c r="I160" s="861"/>
      <c r="J160" s="862"/>
      <c r="K160" s="374"/>
      <c r="L160" s="361" t="s">
        <v>303</v>
      </c>
      <c r="M160" s="856"/>
      <c r="N160" s="688"/>
      <c r="O160" s="122"/>
      <c r="P160" s="122"/>
      <c r="AH160" s="42" t="n">
        <v>0</v>
      </c>
    </row>
    <row r="161" s="42" customFormat="true" ht="18.75" hidden="true" customHeight="true" outlineLevel="0" collapsed="false">
      <c r="A161" s="136"/>
      <c r="B161" s="136"/>
      <c r="C161" s="340" t="s">
        <v>1144</v>
      </c>
      <c r="D161" s="873"/>
      <c r="E161" s="293"/>
      <c r="F161" s="692"/>
      <c r="G161" s="802"/>
      <c r="H161" s="606"/>
      <c r="I161" s="170" t="s">
        <v>1143</v>
      </c>
      <c r="J161" s="214"/>
      <c r="K161" s="606"/>
      <c r="L161" s="732"/>
      <c r="M161" s="856"/>
      <c r="N161" s="688"/>
      <c r="O161" s="122"/>
      <c r="P161" s="122"/>
      <c r="AH161" s="42" t="n">
        <v>0</v>
      </c>
    </row>
    <row r="162" s="42" customFormat="true" ht="0.75" hidden="true" customHeight="true" outlineLevel="0" collapsed="false">
      <c r="A162" s="136"/>
      <c r="B162" s="136"/>
      <c r="C162" s="340" t="s">
        <v>1151</v>
      </c>
      <c r="D162" s="873"/>
      <c r="E162" s="293"/>
      <c r="F162" s="692"/>
      <c r="G162" s="872"/>
      <c r="H162" s="606"/>
      <c r="I162" s="170"/>
      <c r="J162" s="214"/>
      <c r="K162" s="606"/>
      <c r="L162" s="732"/>
      <c r="M162" s="856"/>
      <c r="N162" s="688"/>
      <c r="O162" s="122"/>
      <c r="P162" s="122"/>
      <c r="AH162" s="42" t="n">
        <v>0</v>
      </c>
    </row>
    <row r="163" s="42" customFormat="true" ht="18.75" hidden="true" customHeight="true" outlineLevel="0" collapsed="false">
      <c r="A163" s="136" t="s">
        <v>184</v>
      </c>
      <c r="B163" s="136" t="s">
        <v>185</v>
      </c>
      <c r="C163" s="340"/>
      <c r="D163" s="873"/>
      <c r="E163" s="293"/>
      <c r="F163" s="692" t="str">
        <f aca="false">INDEX(PT_DIFFERENTIATION_VTAR,MATCH(A163,PT_DIFFERENTIATION_VTAR_ID,0))</f>
        <v>Тарифы на услуги по передаче теплоносителя</v>
      </c>
      <c r="G163" s="802" t="str">
        <f aca="false">INDEX(PT_DIFFERENTIATION_NTAR,MATCH(B163,PT_DIFFERENTIATION_NTAR_ID,0))</f>
        <v/>
      </c>
      <c r="H163" s="361"/>
      <c r="I163" s="861"/>
      <c r="J163" s="862"/>
      <c r="K163" s="374"/>
      <c r="L163" s="361" t="s">
        <v>303</v>
      </c>
      <c r="M163" s="856"/>
      <c r="N163" s="688"/>
      <c r="O163" s="122"/>
      <c r="P163" s="122"/>
      <c r="AH163" s="42" t="n">
        <v>0</v>
      </c>
    </row>
    <row r="164" s="42" customFormat="true" ht="18.75" hidden="true" customHeight="true" outlineLevel="0" collapsed="false">
      <c r="A164" s="136"/>
      <c r="B164" s="136"/>
      <c r="C164" s="340" t="s">
        <v>1144</v>
      </c>
      <c r="D164" s="873"/>
      <c r="E164" s="293"/>
      <c r="F164" s="692"/>
      <c r="G164" s="802"/>
      <c r="H164" s="606"/>
      <c r="I164" s="170" t="s">
        <v>1143</v>
      </c>
      <c r="J164" s="214"/>
      <c r="K164" s="606"/>
      <c r="L164" s="732"/>
      <c r="M164" s="856"/>
      <c r="N164" s="688"/>
      <c r="O164" s="122"/>
      <c r="P164" s="122"/>
      <c r="AH164" s="42" t="n">
        <v>0</v>
      </c>
    </row>
    <row r="165" s="42" customFormat="true" ht="0.75" hidden="true" customHeight="true" outlineLevel="0" collapsed="false">
      <c r="A165" s="136"/>
      <c r="B165" s="136"/>
      <c r="C165" s="340" t="s">
        <v>1151</v>
      </c>
      <c r="D165" s="873"/>
      <c r="E165" s="293"/>
      <c r="F165" s="692"/>
      <c r="G165" s="872"/>
      <c r="H165" s="606"/>
      <c r="I165" s="170"/>
      <c r="J165" s="214"/>
      <c r="K165" s="606"/>
      <c r="L165" s="732"/>
      <c r="M165" s="856"/>
      <c r="N165" s="688"/>
      <c r="O165" s="122"/>
      <c r="P165" s="122"/>
      <c r="AH165" s="42" t="n">
        <v>0</v>
      </c>
    </row>
    <row r="166" s="42" customFormat="true" ht="18.75" hidden="true" customHeight="true" outlineLevel="0" collapsed="false">
      <c r="A166" s="136" t="s">
        <v>190</v>
      </c>
      <c r="B166" s="136" t="s">
        <v>191</v>
      </c>
      <c r="C166" s="340"/>
      <c r="D166" s="873"/>
      <c r="E166" s="293"/>
      <c r="F166" s="692" t="str">
        <f aca="false">INDEX(PT_DIFFERENTIATION_VTAR,MATCH(A166,PT_DIFFERENTIATION_VTAR_ID,0))</f>
        <v>Плата за услуги по поддержанию резервной тепловой мощности при отсутствии потребления тепловой энергии</v>
      </c>
      <c r="G166" s="802" t="str">
        <f aca="false">INDEX(PT_DIFFERENTIATION_NTAR,MATCH(B166,PT_DIFFERENTIATION_NTAR_ID,0))</f>
        <v/>
      </c>
      <c r="H166" s="361"/>
      <c r="I166" s="861"/>
      <c r="J166" s="862"/>
      <c r="K166" s="374"/>
      <c r="L166" s="361" t="s">
        <v>303</v>
      </c>
      <c r="M166" s="856"/>
      <c r="N166" s="688"/>
      <c r="O166" s="122"/>
      <c r="P166" s="122"/>
      <c r="AH166" s="42" t="n">
        <v>0</v>
      </c>
    </row>
    <row r="167" s="42" customFormat="true" ht="18.75" hidden="true" customHeight="true" outlineLevel="0" collapsed="false">
      <c r="A167" s="136"/>
      <c r="B167" s="136"/>
      <c r="C167" s="340" t="s">
        <v>1144</v>
      </c>
      <c r="D167" s="873"/>
      <c r="E167" s="293"/>
      <c r="F167" s="692"/>
      <c r="G167" s="802"/>
      <c r="H167" s="606"/>
      <c r="I167" s="170" t="s">
        <v>1143</v>
      </c>
      <c r="J167" s="214"/>
      <c r="K167" s="606"/>
      <c r="L167" s="732"/>
      <c r="M167" s="856"/>
      <c r="N167" s="688"/>
      <c r="O167" s="122"/>
      <c r="P167" s="122"/>
      <c r="AH167" s="42" t="n">
        <v>0</v>
      </c>
    </row>
    <row r="168" s="42" customFormat="true" ht="0.75" hidden="true" customHeight="true" outlineLevel="0" collapsed="false">
      <c r="A168" s="136"/>
      <c r="B168" s="136"/>
      <c r="C168" s="340" t="s">
        <v>1151</v>
      </c>
      <c r="D168" s="873"/>
      <c r="E168" s="293"/>
      <c r="F168" s="692"/>
      <c r="G168" s="872"/>
      <c r="H168" s="606"/>
      <c r="I168" s="170"/>
      <c r="J168" s="214"/>
      <c r="K168" s="606"/>
      <c r="L168" s="732"/>
      <c r="M168" s="856"/>
      <c r="N168" s="688"/>
      <c r="O168" s="122"/>
      <c r="P168" s="122"/>
      <c r="AH168" s="42" t="n">
        <v>0</v>
      </c>
    </row>
    <row r="169" s="42" customFormat="true" ht="18.75" hidden="true" customHeight="true" outlineLevel="0" collapsed="false">
      <c r="A169" s="136" t="s">
        <v>196</v>
      </c>
      <c r="B169" s="136" t="s">
        <v>197</v>
      </c>
      <c r="C169" s="340"/>
      <c r="D169" s="873"/>
      <c r="E169" s="293"/>
      <c r="F169" s="692" t="str">
        <f aca="false">INDEX(PT_DIFFERENTIATION_VTAR,MATCH(A169,PT_DIFFERENTIATION_VTAR_ID,0))</f>
        <v>Плата за подключение (технологическое присоединение) к системе теплоснабжения</v>
      </c>
      <c r="G169" s="802" t="str">
        <f aca="false">INDEX(PT_DIFFERENTIATION_NTAR,MATCH(B169,PT_DIFFERENTIATION_NTAR_ID,0))</f>
        <v/>
      </c>
      <c r="H169" s="361"/>
      <c r="I169" s="861"/>
      <c r="J169" s="862"/>
      <c r="K169" s="374"/>
      <c r="L169" s="361" t="s">
        <v>303</v>
      </c>
      <c r="M169" s="856"/>
      <c r="N169" s="688"/>
      <c r="O169" s="122"/>
      <c r="P169" s="122"/>
      <c r="AH169" s="42" t="n">
        <v>0</v>
      </c>
    </row>
    <row r="170" s="42" customFormat="true" ht="18.75" hidden="true" customHeight="true" outlineLevel="0" collapsed="false">
      <c r="A170" s="136"/>
      <c r="B170" s="136"/>
      <c r="C170" s="340" t="s">
        <v>1144</v>
      </c>
      <c r="D170" s="873"/>
      <c r="E170" s="293"/>
      <c r="F170" s="692"/>
      <c r="G170" s="802"/>
      <c r="H170" s="606"/>
      <c r="I170" s="170" t="s">
        <v>1143</v>
      </c>
      <c r="J170" s="214"/>
      <c r="K170" s="606"/>
      <c r="L170" s="732"/>
      <c r="M170" s="856"/>
      <c r="N170" s="688"/>
      <c r="O170" s="122"/>
      <c r="P170" s="122"/>
      <c r="AH170" s="42" t="n">
        <v>0</v>
      </c>
    </row>
    <row r="171" s="42" customFormat="true" ht="0.75" hidden="true" customHeight="true" outlineLevel="0" collapsed="false">
      <c r="A171" s="136"/>
      <c r="B171" s="136"/>
      <c r="C171" s="340" t="s">
        <v>1151</v>
      </c>
      <c r="D171" s="873"/>
      <c r="E171" s="293"/>
      <c r="F171" s="692"/>
      <c r="G171" s="872"/>
      <c r="H171" s="606"/>
      <c r="I171" s="170"/>
      <c r="J171" s="214"/>
      <c r="K171" s="606"/>
      <c r="L171" s="732"/>
      <c r="M171" s="856"/>
      <c r="N171" s="688"/>
      <c r="O171" s="122"/>
      <c r="P171" s="122"/>
      <c r="AH171" s="42" t="n">
        <v>0</v>
      </c>
    </row>
    <row r="172" s="42" customFormat="true" ht="18.75" hidden="true" customHeight="true" outlineLevel="0" collapsed="false">
      <c r="A172" s="136" t="s">
        <v>202</v>
      </c>
      <c r="B172" s="136" t="s">
        <v>203</v>
      </c>
      <c r="C172" s="340"/>
      <c r="D172" s="873"/>
      <c r="E172" s="293"/>
      <c r="F172" s="692" t="str">
        <f aca="false">INDEX(PT_DIFFERENTIATION_VTAR,MATCH(A172,PT_DIFFERENTIATION_VTAR_ID,0))</f>
        <v>Плата за подключение (технологическое присоединение) к системе теплоснабжения (индивидуальная)</v>
      </c>
      <c r="G172" s="802" t="str">
        <f aca="false">INDEX(PT_DIFFERENTIATION_NTAR,MATCH(B172,PT_DIFFERENTIATION_NTAR_ID,0))</f>
        <v/>
      </c>
      <c r="H172" s="361"/>
      <c r="I172" s="861"/>
      <c r="J172" s="862"/>
      <c r="K172" s="374"/>
      <c r="L172" s="361" t="s">
        <v>303</v>
      </c>
      <c r="M172" s="856"/>
      <c r="N172" s="688"/>
      <c r="O172" s="122"/>
      <c r="P172" s="122"/>
      <c r="AH172" s="42" t="n">
        <v>0</v>
      </c>
    </row>
    <row r="173" s="42" customFormat="true" ht="18.75" hidden="true" customHeight="true" outlineLevel="0" collapsed="false">
      <c r="A173" s="136"/>
      <c r="B173" s="136"/>
      <c r="C173" s="340" t="s">
        <v>1144</v>
      </c>
      <c r="D173" s="873"/>
      <c r="E173" s="293"/>
      <c r="F173" s="692"/>
      <c r="G173" s="802"/>
      <c r="H173" s="606"/>
      <c r="I173" s="170" t="s">
        <v>1143</v>
      </c>
      <c r="J173" s="214"/>
      <c r="K173" s="606"/>
      <c r="L173" s="732"/>
      <c r="M173" s="856"/>
      <c r="N173" s="688"/>
      <c r="O173" s="122"/>
      <c r="P173" s="122"/>
      <c r="AH173" s="42" t="n">
        <v>0</v>
      </c>
    </row>
    <row r="174" s="42" customFormat="true" ht="0.75" hidden="true" customHeight="true" outlineLevel="0" collapsed="false">
      <c r="A174" s="136"/>
      <c r="B174" s="136"/>
      <c r="C174" s="340" t="s">
        <v>1151</v>
      </c>
      <c r="D174" s="873"/>
      <c r="E174" s="293"/>
      <c r="F174" s="692"/>
      <c r="G174" s="872"/>
      <c r="H174" s="606"/>
      <c r="I174" s="170"/>
      <c r="J174" s="214"/>
      <c r="K174" s="606"/>
      <c r="L174" s="732"/>
      <c r="M174" s="856"/>
      <c r="N174" s="688"/>
      <c r="O174" s="122"/>
      <c r="P174" s="122"/>
      <c r="AH174" s="42" t="n">
        <v>0</v>
      </c>
    </row>
    <row r="175" s="42" customFormat="true" ht="18.75" hidden="true" customHeight="true" outlineLevel="0" collapsed="false">
      <c r="A175" s="136" t="s">
        <v>222</v>
      </c>
      <c r="B175" s="136" t="s">
        <v>223</v>
      </c>
      <c r="C175" s="340"/>
      <c r="D175" s="873"/>
      <c r="E175" s="293"/>
      <c r="F175" s="692" t="str">
        <f aca="false">INDEX(PT_DIFFERENTIATION_VTAR,MATCH(A175,PT_DIFFERENTIATION_VTAR_ID,0))</f>
        <v>Тариф на питьевую воду (питьевое водоснабжение)</v>
      </c>
      <c r="G175" s="802" t="str">
        <f aca="false">INDEX(PT_DIFFERENTIATION_NTAR,MATCH(B175,PT_DIFFERENTIATION_NTAR_ID,0))</f>
        <v/>
      </c>
      <c r="H175" s="361"/>
      <c r="I175" s="861"/>
      <c r="J175" s="862"/>
      <c r="K175" s="374"/>
      <c r="L175" s="361" t="s">
        <v>303</v>
      </c>
      <c r="M175" s="856"/>
      <c r="N175" s="688"/>
      <c r="O175" s="122"/>
      <c r="P175" s="122"/>
      <c r="AH175" s="42" t="n">
        <v>0</v>
      </c>
    </row>
    <row r="176" s="42" customFormat="true" ht="18.75" hidden="true" customHeight="true" outlineLevel="0" collapsed="false">
      <c r="A176" s="136"/>
      <c r="B176" s="136"/>
      <c r="C176" s="340" t="s">
        <v>1144</v>
      </c>
      <c r="D176" s="873"/>
      <c r="E176" s="293"/>
      <c r="F176" s="692"/>
      <c r="G176" s="802"/>
      <c r="H176" s="606"/>
      <c r="I176" s="170" t="s">
        <v>1143</v>
      </c>
      <c r="J176" s="214"/>
      <c r="K176" s="606"/>
      <c r="L176" s="732"/>
      <c r="M176" s="856"/>
      <c r="N176" s="688"/>
      <c r="O176" s="122"/>
      <c r="P176" s="122"/>
      <c r="AH176" s="42" t="n">
        <v>0</v>
      </c>
    </row>
    <row r="177" s="42" customFormat="true" ht="0.75" hidden="true" customHeight="true" outlineLevel="0" collapsed="false">
      <c r="A177" s="136"/>
      <c r="B177" s="136"/>
      <c r="C177" s="340" t="s">
        <v>1151</v>
      </c>
      <c r="D177" s="873"/>
      <c r="E177" s="293"/>
      <c r="F177" s="692"/>
      <c r="G177" s="872"/>
      <c r="H177" s="606"/>
      <c r="I177" s="170"/>
      <c r="J177" s="214"/>
      <c r="K177" s="606"/>
      <c r="L177" s="732"/>
      <c r="M177" s="856"/>
      <c r="N177" s="688"/>
      <c r="O177" s="122"/>
      <c r="P177" s="122"/>
      <c r="AH177" s="42" t="n">
        <v>0</v>
      </c>
    </row>
    <row r="178" s="42" customFormat="true" ht="18.75" hidden="true" customHeight="true" outlineLevel="0" collapsed="false">
      <c r="A178" s="136" t="s">
        <v>227</v>
      </c>
      <c r="B178" s="136" t="s">
        <v>228</v>
      </c>
      <c r="C178" s="340"/>
      <c r="D178" s="873"/>
      <c r="E178" s="293"/>
      <c r="F178" s="692" t="str">
        <f aca="false">INDEX(PT_DIFFERENTIATION_VTAR,MATCH(A178,PT_DIFFERENTIATION_VTAR_ID,0))</f>
        <v>Тариф на техническую воду</v>
      </c>
      <c r="G178" s="802" t="str">
        <f aca="false">INDEX(PT_DIFFERENTIATION_NTAR,MATCH(B178,PT_DIFFERENTIATION_NTAR_ID,0))</f>
        <v/>
      </c>
      <c r="H178" s="361"/>
      <c r="I178" s="861"/>
      <c r="J178" s="862"/>
      <c r="K178" s="374"/>
      <c r="L178" s="361" t="s">
        <v>303</v>
      </c>
      <c r="M178" s="856"/>
      <c r="N178" s="688"/>
      <c r="O178" s="122"/>
      <c r="P178" s="122"/>
      <c r="AH178" s="42" t="n">
        <v>0</v>
      </c>
    </row>
    <row r="179" s="42" customFormat="true" ht="18.75" hidden="true" customHeight="true" outlineLevel="0" collapsed="false">
      <c r="A179" s="136"/>
      <c r="B179" s="136"/>
      <c r="C179" s="340" t="s">
        <v>1144</v>
      </c>
      <c r="D179" s="873"/>
      <c r="E179" s="293"/>
      <c r="F179" s="692"/>
      <c r="G179" s="802"/>
      <c r="H179" s="606"/>
      <c r="I179" s="170" t="s">
        <v>1143</v>
      </c>
      <c r="J179" s="214"/>
      <c r="K179" s="606"/>
      <c r="L179" s="732"/>
      <c r="M179" s="856"/>
      <c r="N179" s="688"/>
      <c r="O179" s="122"/>
      <c r="P179" s="122"/>
      <c r="AH179" s="42" t="n">
        <v>0</v>
      </c>
    </row>
    <row r="180" s="42" customFormat="true" ht="0.75" hidden="true" customHeight="true" outlineLevel="0" collapsed="false">
      <c r="A180" s="136"/>
      <c r="B180" s="136"/>
      <c r="C180" s="340" t="s">
        <v>1151</v>
      </c>
      <c r="D180" s="873"/>
      <c r="E180" s="293"/>
      <c r="F180" s="692"/>
      <c r="G180" s="872"/>
      <c r="H180" s="606"/>
      <c r="I180" s="170"/>
      <c r="J180" s="214"/>
      <c r="K180" s="606"/>
      <c r="L180" s="732"/>
      <c r="M180" s="856"/>
      <c r="N180" s="688"/>
      <c r="O180" s="122"/>
      <c r="P180" s="122"/>
      <c r="AH180" s="42" t="n">
        <v>0</v>
      </c>
    </row>
    <row r="181" s="42" customFormat="true" ht="18.75" hidden="true" customHeight="true" outlineLevel="0" collapsed="false">
      <c r="A181" s="136" t="s">
        <v>232</v>
      </c>
      <c r="B181" s="136" t="s">
        <v>233</v>
      </c>
      <c r="C181" s="340"/>
      <c r="D181" s="873"/>
      <c r="E181" s="293"/>
      <c r="F181" s="692" t="str">
        <f aca="false">INDEX(PT_DIFFERENTIATION_VTAR,MATCH(A181,PT_DIFFERENTIATION_VTAR_ID,0))</f>
        <v>Тариф на транспортировку воды</v>
      </c>
      <c r="G181" s="802" t="str">
        <f aca="false">INDEX(PT_DIFFERENTIATION_NTAR,MATCH(B181,PT_DIFFERENTIATION_NTAR_ID,0))</f>
        <v/>
      </c>
      <c r="H181" s="361"/>
      <c r="I181" s="861"/>
      <c r="J181" s="862"/>
      <c r="K181" s="374"/>
      <c r="L181" s="361" t="s">
        <v>303</v>
      </c>
      <c r="M181" s="856"/>
      <c r="N181" s="688"/>
      <c r="O181" s="122"/>
      <c r="P181" s="122"/>
      <c r="AH181" s="42" t="n">
        <v>0</v>
      </c>
    </row>
    <row r="182" s="42" customFormat="true" ht="18.75" hidden="true" customHeight="true" outlineLevel="0" collapsed="false">
      <c r="A182" s="136"/>
      <c r="B182" s="136"/>
      <c r="C182" s="340" t="s">
        <v>1144</v>
      </c>
      <c r="D182" s="873"/>
      <c r="E182" s="293"/>
      <c r="F182" s="692"/>
      <c r="G182" s="802"/>
      <c r="H182" s="606"/>
      <c r="I182" s="170" t="s">
        <v>1143</v>
      </c>
      <c r="J182" s="214"/>
      <c r="K182" s="606"/>
      <c r="L182" s="732"/>
      <c r="M182" s="856"/>
      <c r="N182" s="688"/>
      <c r="O182" s="122"/>
      <c r="P182" s="122"/>
      <c r="AH182" s="42" t="n">
        <v>0</v>
      </c>
    </row>
    <row r="183" s="42" customFormat="true" ht="0.75" hidden="true" customHeight="true" outlineLevel="0" collapsed="false">
      <c r="A183" s="136"/>
      <c r="B183" s="136"/>
      <c r="C183" s="340" t="s">
        <v>1151</v>
      </c>
      <c r="D183" s="873"/>
      <c r="E183" s="293"/>
      <c r="F183" s="692"/>
      <c r="G183" s="872"/>
      <c r="H183" s="606"/>
      <c r="I183" s="170"/>
      <c r="J183" s="214"/>
      <c r="K183" s="606"/>
      <c r="L183" s="732"/>
      <c r="M183" s="856"/>
      <c r="N183" s="688"/>
      <c r="O183" s="122"/>
      <c r="P183" s="122"/>
      <c r="AH183" s="42" t="n">
        <v>0</v>
      </c>
    </row>
    <row r="184" s="42" customFormat="true" ht="18.75" hidden="true" customHeight="true" outlineLevel="0" collapsed="false">
      <c r="A184" s="136" t="s">
        <v>237</v>
      </c>
      <c r="B184" s="136" t="s">
        <v>238</v>
      </c>
      <c r="C184" s="340"/>
      <c r="D184" s="873"/>
      <c r="E184" s="293"/>
      <c r="F184" s="692" t="str">
        <f aca="false">INDEX(PT_DIFFERENTIATION_VTAR,MATCH(A184,PT_DIFFERENTIATION_VTAR_ID,0))</f>
        <v>Тариф на подвоз воды</v>
      </c>
      <c r="G184" s="802" t="str">
        <f aca="false">INDEX(PT_DIFFERENTIATION_NTAR,MATCH(B184,PT_DIFFERENTIATION_NTAR_ID,0))</f>
        <v/>
      </c>
      <c r="H184" s="361"/>
      <c r="I184" s="861"/>
      <c r="J184" s="862"/>
      <c r="K184" s="374"/>
      <c r="L184" s="361" t="s">
        <v>303</v>
      </c>
      <c r="M184" s="856"/>
      <c r="N184" s="688"/>
      <c r="O184" s="122"/>
      <c r="P184" s="122"/>
      <c r="AH184" s="42" t="n">
        <v>0</v>
      </c>
    </row>
    <row r="185" s="42" customFormat="true" ht="18.75" hidden="true" customHeight="true" outlineLevel="0" collapsed="false">
      <c r="A185" s="136"/>
      <c r="B185" s="136"/>
      <c r="C185" s="340" t="s">
        <v>1144</v>
      </c>
      <c r="D185" s="873"/>
      <c r="E185" s="293"/>
      <c r="F185" s="692"/>
      <c r="G185" s="802"/>
      <c r="H185" s="606"/>
      <c r="I185" s="170" t="s">
        <v>1143</v>
      </c>
      <c r="J185" s="214"/>
      <c r="K185" s="606"/>
      <c r="L185" s="732"/>
      <c r="M185" s="856"/>
      <c r="N185" s="688"/>
      <c r="O185" s="122"/>
      <c r="P185" s="122"/>
      <c r="AH185" s="42" t="n">
        <v>0</v>
      </c>
    </row>
    <row r="186" s="42" customFormat="true" ht="0.75" hidden="true" customHeight="true" outlineLevel="0" collapsed="false">
      <c r="A186" s="136"/>
      <c r="B186" s="136"/>
      <c r="C186" s="340" t="s">
        <v>1151</v>
      </c>
      <c r="D186" s="873"/>
      <c r="E186" s="293"/>
      <c r="F186" s="692"/>
      <c r="G186" s="872"/>
      <c r="H186" s="606"/>
      <c r="I186" s="170"/>
      <c r="J186" s="214"/>
      <c r="K186" s="606"/>
      <c r="L186" s="732"/>
      <c r="M186" s="856"/>
      <c r="N186" s="688"/>
      <c r="O186" s="122"/>
      <c r="P186" s="122"/>
      <c r="AH186" s="42" t="n">
        <v>0</v>
      </c>
    </row>
    <row r="187" s="42" customFormat="true" ht="18.75" hidden="true" customHeight="true" outlineLevel="0" collapsed="false">
      <c r="A187" s="136" t="s">
        <v>242</v>
      </c>
      <c r="B187" s="136" t="s">
        <v>243</v>
      </c>
      <c r="C187" s="340"/>
      <c r="D187" s="873"/>
      <c r="E187" s="293"/>
      <c r="F187" s="692" t="str">
        <f aca="false">INDEX(PT_DIFFERENTIATION_VTAR,MATCH(A187,PT_DIFFERENTIATION_VTAR_ID,0))</f>
        <v>Тариф на подключение (технологическое присоединение) к централизованной системе холодного водоснабжения</v>
      </c>
      <c r="G187" s="802" t="str">
        <f aca="false">INDEX(PT_DIFFERENTIATION_NTAR,MATCH(B187,PT_DIFFERENTIATION_NTAR_ID,0))</f>
        <v/>
      </c>
      <c r="H187" s="361"/>
      <c r="I187" s="861"/>
      <c r="J187" s="862"/>
      <c r="K187" s="374"/>
      <c r="L187" s="361" t="s">
        <v>303</v>
      </c>
      <c r="M187" s="856"/>
      <c r="N187" s="688"/>
      <c r="O187" s="122"/>
      <c r="P187" s="122"/>
      <c r="AH187" s="42" t="n">
        <v>0</v>
      </c>
    </row>
    <row r="188" s="42" customFormat="true" ht="18.75" hidden="true" customHeight="true" outlineLevel="0" collapsed="false">
      <c r="A188" s="136"/>
      <c r="B188" s="136"/>
      <c r="C188" s="340" t="s">
        <v>1144</v>
      </c>
      <c r="D188" s="873"/>
      <c r="E188" s="293"/>
      <c r="F188" s="692"/>
      <c r="G188" s="802"/>
      <c r="H188" s="606"/>
      <c r="I188" s="170" t="s">
        <v>1143</v>
      </c>
      <c r="J188" s="214"/>
      <c r="K188" s="606"/>
      <c r="L188" s="732"/>
      <c r="M188" s="856"/>
      <c r="N188" s="688"/>
      <c r="O188" s="122"/>
      <c r="P188" s="122"/>
      <c r="AH188" s="42" t="n">
        <v>0</v>
      </c>
    </row>
    <row r="189" s="42" customFormat="true" ht="0.75" hidden="true" customHeight="true" outlineLevel="0" collapsed="false">
      <c r="A189" s="136"/>
      <c r="B189" s="136"/>
      <c r="C189" s="340" t="s">
        <v>1151</v>
      </c>
      <c r="D189" s="873"/>
      <c r="E189" s="293"/>
      <c r="F189" s="692"/>
      <c r="G189" s="872"/>
      <c r="H189" s="606"/>
      <c r="I189" s="170"/>
      <c r="J189" s="214"/>
      <c r="K189" s="606"/>
      <c r="L189" s="732"/>
      <c r="M189" s="856"/>
      <c r="N189" s="688"/>
      <c r="O189" s="122"/>
      <c r="P189" s="122"/>
      <c r="AH189" s="42" t="n">
        <v>0</v>
      </c>
    </row>
    <row r="190" s="42" customFormat="true" ht="18.75" hidden="true" customHeight="true" outlineLevel="0" collapsed="false">
      <c r="A190" s="136" t="s">
        <v>247</v>
      </c>
      <c r="B190" s="136" t="s">
        <v>248</v>
      </c>
      <c r="C190" s="340"/>
      <c r="D190" s="873"/>
      <c r="E190" s="293"/>
      <c r="F190" s="692" t="str">
        <f aca="false">INDEX(PT_DIFFERENTIATION_VTAR,MATCH(A190,PT_DIFFERENTIATION_VTAR_ID,0))</f>
        <v>Тариф на горячую воду (горячее водоснабжение)</v>
      </c>
      <c r="G190" s="802" t="str">
        <f aca="false">INDEX(PT_DIFFERENTIATION_NTAR,MATCH(B190,PT_DIFFERENTIATION_NTAR_ID,0))</f>
        <v/>
      </c>
      <c r="H190" s="361"/>
      <c r="I190" s="861"/>
      <c r="J190" s="862"/>
      <c r="K190" s="374"/>
      <c r="L190" s="361" t="s">
        <v>303</v>
      </c>
      <c r="M190" s="856"/>
      <c r="N190" s="688"/>
      <c r="O190" s="122"/>
      <c r="P190" s="122"/>
      <c r="AH190" s="42" t="n">
        <v>0</v>
      </c>
    </row>
    <row r="191" s="42" customFormat="true" ht="18.75" hidden="true" customHeight="true" outlineLevel="0" collapsed="false">
      <c r="A191" s="136"/>
      <c r="B191" s="136"/>
      <c r="C191" s="340" t="s">
        <v>1144</v>
      </c>
      <c r="D191" s="873"/>
      <c r="E191" s="293"/>
      <c r="F191" s="692"/>
      <c r="G191" s="802"/>
      <c r="H191" s="606"/>
      <c r="I191" s="170" t="s">
        <v>1143</v>
      </c>
      <c r="J191" s="214"/>
      <c r="K191" s="606"/>
      <c r="L191" s="732"/>
      <c r="M191" s="856"/>
      <c r="N191" s="688"/>
      <c r="O191" s="122"/>
      <c r="P191" s="122"/>
      <c r="AH191" s="42" t="n">
        <v>0</v>
      </c>
    </row>
    <row r="192" s="42" customFormat="true" ht="0.75" hidden="true" customHeight="true" outlineLevel="0" collapsed="false">
      <c r="A192" s="136"/>
      <c r="B192" s="136"/>
      <c r="C192" s="340" t="s">
        <v>1151</v>
      </c>
      <c r="D192" s="873"/>
      <c r="E192" s="293"/>
      <c r="F192" s="692"/>
      <c r="G192" s="872"/>
      <c r="H192" s="606"/>
      <c r="I192" s="170"/>
      <c r="J192" s="214"/>
      <c r="K192" s="606"/>
      <c r="L192" s="732"/>
      <c r="M192" s="856"/>
      <c r="N192" s="688"/>
      <c r="O192" s="122"/>
      <c r="P192" s="122"/>
      <c r="AH192" s="42" t="n">
        <v>0</v>
      </c>
    </row>
    <row r="193" s="42" customFormat="true" ht="18.75" hidden="true" customHeight="true" outlineLevel="0" collapsed="false">
      <c r="A193" s="136" t="s">
        <v>252</v>
      </c>
      <c r="B193" s="136" t="s">
        <v>253</v>
      </c>
      <c r="C193" s="340"/>
      <c r="D193" s="873"/>
      <c r="E193" s="293"/>
      <c r="F193" s="692" t="str">
        <f aca="false">INDEX(PT_DIFFERENTIATION_VTAR,MATCH(A193,PT_DIFFERENTIATION_VTAR_ID,0))</f>
        <v>Тариф на транспортировку горячей воды</v>
      </c>
      <c r="G193" s="802" t="str">
        <f aca="false">INDEX(PT_DIFFERENTIATION_NTAR,MATCH(B193,PT_DIFFERENTIATION_NTAR_ID,0))</f>
        <v/>
      </c>
      <c r="H193" s="361"/>
      <c r="I193" s="861"/>
      <c r="J193" s="862"/>
      <c r="K193" s="374"/>
      <c r="L193" s="361" t="s">
        <v>303</v>
      </c>
      <c r="M193" s="856"/>
      <c r="N193" s="688"/>
      <c r="O193" s="122"/>
      <c r="P193" s="122"/>
      <c r="AH193" s="42" t="n">
        <v>0</v>
      </c>
    </row>
    <row r="194" s="42" customFormat="true" ht="18.75" hidden="true" customHeight="true" outlineLevel="0" collapsed="false">
      <c r="A194" s="136"/>
      <c r="B194" s="136"/>
      <c r="C194" s="340" t="s">
        <v>1144</v>
      </c>
      <c r="D194" s="873"/>
      <c r="E194" s="293"/>
      <c r="F194" s="692"/>
      <c r="G194" s="802"/>
      <c r="H194" s="606"/>
      <c r="I194" s="170" t="s">
        <v>1143</v>
      </c>
      <c r="J194" s="214"/>
      <c r="K194" s="606"/>
      <c r="L194" s="732"/>
      <c r="M194" s="856"/>
      <c r="N194" s="688"/>
      <c r="O194" s="122"/>
      <c r="P194" s="122"/>
      <c r="AH194" s="42" t="n">
        <v>0</v>
      </c>
    </row>
    <row r="195" s="42" customFormat="true" ht="0.75" hidden="true" customHeight="true" outlineLevel="0" collapsed="false">
      <c r="A195" s="136"/>
      <c r="B195" s="136"/>
      <c r="C195" s="340" t="s">
        <v>1151</v>
      </c>
      <c r="D195" s="873"/>
      <c r="E195" s="293"/>
      <c r="F195" s="692"/>
      <c r="G195" s="872"/>
      <c r="H195" s="606"/>
      <c r="I195" s="170"/>
      <c r="J195" s="214"/>
      <c r="K195" s="606"/>
      <c r="L195" s="732"/>
      <c r="M195" s="856"/>
      <c r="N195" s="688"/>
      <c r="O195" s="122"/>
      <c r="P195" s="122"/>
      <c r="AH195" s="42" t="n">
        <v>0</v>
      </c>
    </row>
    <row r="196" s="42" customFormat="true" ht="18.75" hidden="true" customHeight="true" outlineLevel="0" collapsed="false">
      <c r="A196" s="136" t="s">
        <v>257</v>
      </c>
      <c r="B196" s="136" t="s">
        <v>258</v>
      </c>
      <c r="C196" s="340"/>
      <c r="D196" s="873"/>
      <c r="E196" s="293"/>
      <c r="F196" s="692" t="str">
        <f aca="false">INDEX(PT_DIFFERENTIATION_VTAR,MATCH(A196,PT_DIFFERENTIATION_VTAR_ID,0))</f>
        <v>Тариф на подключение (технологическое присоединение) к централизованной системе горячего водоснабжения</v>
      </c>
      <c r="G196" s="802" t="str">
        <f aca="false">INDEX(PT_DIFFERENTIATION_NTAR,MATCH(B196,PT_DIFFERENTIATION_NTAR_ID,0))</f>
        <v/>
      </c>
      <c r="H196" s="361"/>
      <c r="I196" s="861"/>
      <c r="J196" s="862"/>
      <c r="K196" s="374"/>
      <c r="L196" s="361" t="s">
        <v>303</v>
      </c>
      <c r="M196" s="856"/>
      <c r="N196" s="688"/>
      <c r="O196" s="122"/>
      <c r="P196" s="122"/>
      <c r="AH196" s="42" t="n">
        <v>0</v>
      </c>
    </row>
    <row r="197" s="42" customFormat="true" ht="18.75" hidden="true" customHeight="true" outlineLevel="0" collapsed="false">
      <c r="A197" s="136"/>
      <c r="B197" s="136"/>
      <c r="C197" s="340" t="s">
        <v>1144</v>
      </c>
      <c r="D197" s="873"/>
      <c r="E197" s="293"/>
      <c r="F197" s="692"/>
      <c r="G197" s="802"/>
      <c r="H197" s="606"/>
      <c r="I197" s="170" t="s">
        <v>1143</v>
      </c>
      <c r="J197" s="214"/>
      <c r="K197" s="606"/>
      <c r="L197" s="732"/>
      <c r="M197" s="856"/>
      <c r="N197" s="688"/>
      <c r="O197" s="122"/>
      <c r="P197" s="122"/>
      <c r="AH197" s="42" t="n">
        <v>0</v>
      </c>
    </row>
    <row r="198" s="42" customFormat="true" ht="0.75" hidden="true" customHeight="true" outlineLevel="0" collapsed="false">
      <c r="A198" s="136"/>
      <c r="B198" s="136"/>
      <c r="C198" s="340" t="s">
        <v>1151</v>
      </c>
      <c r="D198" s="873"/>
      <c r="E198" s="293"/>
      <c r="F198" s="692"/>
      <c r="G198" s="872"/>
      <c r="H198" s="606"/>
      <c r="I198" s="170"/>
      <c r="J198" s="214"/>
      <c r="K198" s="606"/>
      <c r="L198" s="732"/>
      <c r="M198" s="856"/>
      <c r="N198" s="688"/>
      <c r="O198" s="122"/>
      <c r="P198" s="122"/>
      <c r="AH198" s="42" t="n">
        <v>0</v>
      </c>
    </row>
    <row r="199" s="42" customFormat="true" ht="18.75" hidden="true" customHeight="true" outlineLevel="0" collapsed="false">
      <c r="A199" s="136" t="s">
        <v>262</v>
      </c>
      <c r="B199" s="136" t="s">
        <v>263</v>
      </c>
      <c r="C199" s="340"/>
      <c r="D199" s="873"/>
      <c r="E199" s="293"/>
      <c r="F199" s="692" t="str">
        <f aca="false">INDEX(PT_DIFFERENTIATION_VTAR,MATCH(A199,PT_DIFFERENTIATION_VTAR_ID,0))</f>
        <v>Тариф на водоотведение</v>
      </c>
      <c r="G199" s="802" t="str">
        <f aca="false">INDEX(PT_DIFFERENTIATION_NTAR,MATCH(B199,PT_DIFFERENTIATION_NTAR_ID,0))</f>
        <v/>
      </c>
      <c r="H199" s="361"/>
      <c r="I199" s="861"/>
      <c r="J199" s="862"/>
      <c r="K199" s="374"/>
      <c r="L199" s="361" t="s">
        <v>303</v>
      </c>
      <c r="M199" s="856"/>
      <c r="N199" s="688"/>
      <c r="O199" s="122"/>
      <c r="P199" s="122"/>
      <c r="AH199" s="42" t="n">
        <v>0</v>
      </c>
    </row>
    <row r="200" s="42" customFormat="true" ht="18.75" hidden="true" customHeight="true" outlineLevel="0" collapsed="false">
      <c r="A200" s="136"/>
      <c r="B200" s="136"/>
      <c r="C200" s="340" t="s">
        <v>1144</v>
      </c>
      <c r="D200" s="873"/>
      <c r="E200" s="293"/>
      <c r="F200" s="692"/>
      <c r="G200" s="802"/>
      <c r="H200" s="606"/>
      <c r="I200" s="170" t="s">
        <v>1143</v>
      </c>
      <c r="J200" s="214"/>
      <c r="K200" s="606"/>
      <c r="L200" s="732"/>
      <c r="M200" s="856"/>
      <c r="N200" s="688"/>
      <c r="O200" s="122"/>
      <c r="P200" s="122"/>
      <c r="AH200" s="42" t="n">
        <v>0</v>
      </c>
    </row>
    <row r="201" s="42" customFormat="true" ht="0.75" hidden="true" customHeight="true" outlineLevel="0" collapsed="false">
      <c r="A201" s="136"/>
      <c r="B201" s="136"/>
      <c r="C201" s="340" t="s">
        <v>1151</v>
      </c>
      <c r="D201" s="873"/>
      <c r="E201" s="293"/>
      <c r="F201" s="692"/>
      <c r="G201" s="872"/>
      <c r="H201" s="606"/>
      <c r="I201" s="170"/>
      <c r="J201" s="214"/>
      <c r="K201" s="606"/>
      <c r="L201" s="732"/>
      <c r="M201" s="856"/>
      <c r="N201" s="688"/>
      <c r="O201" s="122"/>
      <c r="P201" s="122"/>
      <c r="AH201" s="42" t="n">
        <v>0</v>
      </c>
    </row>
    <row r="202" s="42" customFormat="true" ht="18.75" hidden="true" customHeight="true" outlineLevel="0" collapsed="false">
      <c r="A202" s="136" t="s">
        <v>267</v>
      </c>
      <c r="B202" s="136" t="s">
        <v>268</v>
      </c>
      <c r="C202" s="340"/>
      <c r="D202" s="873"/>
      <c r="E202" s="293"/>
      <c r="F202" s="692" t="str">
        <f aca="false">INDEX(PT_DIFFERENTIATION_VTAR,MATCH(A202,PT_DIFFERENTIATION_VTAR_ID,0))</f>
        <v>Тариф на транспортировку сточных вод</v>
      </c>
      <c r="G202" s="802" t="str">
        <f aca="false">INDEX(PT_DIFFERENTIATION_NTAR,MATCH(B202,PT_DIFFERENTIATION_NTAR_ID,0))</f>
        <v/>
      </c>
      <c r="H202" s="361"/>
      <c r="I202" s="861"/>
      <c r="J202" s="862"/>
      <c r="K202" s="374"/>
      <c r="L202" s="361" t="s">
        <v>303</v>
      </c>
      <c r="M202" s="856"/>
      <c r="N202" s="688"/>
      <c r="O202" s="122"/>
      <c r="P202" s="122"/>
      <c r="AH202" s="42" t="n">
        <v>0</v>
      </c>
    </row>
    <row r="203" s="42" customFormat="true" ht="18.75" hidden="true" customHeight="true" outlineLevel="0" collapsed="false">
      <c r="A203" s="136"/>
      <c r="B203" s="136"/>
      <c r="C203" s="340" t="s">
        <v>1144</v>
      </c>
      <c r="D203" s="873"/>
      <c r="E203" s="293"/>
      <c r="F203" s="692"/>
      <c r="G203" s="802"/>
      <c r="H203" s="606"/>
      <c r="I203" s="170" t="s">
        <v>1143</v>
      </c>
      <c r="J203" s="214"/>
      <c r="K203" s="606"/>
      <c r="L203" s="732"/>
      <c r="M203" s="856"/>
      <c r="N203" s="688"/>
      <c r="O203" s="122"/>
      <c r="P203" s="122"/>
      <c r="AH203" s="42" t="n">
        <v>0</v>
      </c>
    </row>
    <row r="204" s="42" customFormat="true" ht="0.75" hidden="true" customHeight="true" outlineLevel="0" collapsed="false">
      <c r="A204" s="136"/>
      <c r="B204" s="136"/>
      <c r="C204" s="340" t="s">
        <v>1151</v>
      </c>
      <c r="D204" s="873"/>
      <c r="E204" s="293"/>
      <c r="F204" s="692"/>
      <c r="G204" s="872"/>
      <c r="H204" s="606"/>
      <c r="I204" s="170"/>
      <c r="J204" s="214"/>
      <c r="K204" s="606"/>
      <c r="L204" s="732"/>
      <c r="M204" s="856"/>
      <c r="N204" s="688"/>
      <c r="O204" s="122"/>
      <c r="P204" s="122"/>
      <c r="AH204" s="42" t="n">
        <v>0</v>
      </c>
    </row>
    <row r="205" s="42" customFormat="true" ht="18.75" hidden="true" customHeight="true" outlineLevel="0" collapsed="false">
      <c r="A205" s="136" t="s">
        <v>272</v>
      </c>
      <c r="B205" s="136" t="s">
        <v>273</v>
      </c>
      <c r="C205" s="340"/>
      <c r="D205" s="873"/>
      <c r="E205" s="293"/>
      <c r="F205" s="692" t="str">
        <f aca="false">INDEX(PT_DIFFERENTIATION_VTAR,MATCH(A205,PT_DIFFERENTIATION_VTAR_ID,0))</f>
        <v>Тариф на подключение (технологическое присоединение) к централизованной системе водоотведения</v>
      </c>
      <c r="G205" s="802" t="str">
        <f aca="false">INDEX(PT_DIFFERENTIATION_NTAR,MATCH(B205,PT_DIFFERENTIATION_NTAR_ID,0))</f>
        <v/>
      </c>
      <c r="H205" s="361"/>
      <c r="I205" s="861"/>
      <c r="J205" s="862"/>
      <c r="K205" s="374"/>
      <c r="L205" s="361" t="s">
        <v>303</v>
      </c>
      <c r="M205" s="856"/>
      <c r="N205" s="688"/>
      <c r="O205" s="122"/>
      <c r="P205" s="122"/>
      <c r="AH205" s="42" t="n">
        <v>0</v>
      </c>
    </row>
    <row r="206" s="42" customFormat="true" ht="18.75" hidden="true" customHeight="true" outlineLevel="0" collapsed="false">
      <c r="A206" s="136"/>
      <c r="B206" s="136"/>
      <c r="C206" s="340" t="s">
        <v>1144</v>
      </c>
      <c r="D206" s="873"/>
      <c r="E206" s="293"/>
      <c r="F206" s="692"/>
      <c r="G206" s="802"/>
      <c r="H206" s="606"/>
      <c r="I206" s="170" t="s">
        <v>1143</v>
      </c>
      <c r="J206" s="214"/>
      <c r="K206" s="606"/>
      <c r="L206" s="732"/>
      <c r="M206" s="856"/>
      <c r="N206" s="688"/>
      <c r="O206" s="122"/>
      <c r="P206" s="122"/>
      <c r="AH206" s="42" t="n">
        <v>0</v>
      </c>
    </row>
    <row r="207" s="42" customFormat="true" ht="0.75" hidden="false" customHeight="true" outlineLevel="0" collapsed="false">
      <c r="A207" s="136"/>
      <c r="B207" s="136"/>
      <c r="C207" s="340" t="s">
        <v>1151</v>
      </c>
      <c r="D207" s="873"/>
      <c r="E207" s="293"/>
      <c r="F207" s="692"/>
      <c r="G207" s="872"/>
      <c r="H207" s="606"/>
      <c r="I207" s="170"/>
      <c r="J207" s="214"/>
      <c r="K207" s="606"/>
      <c r="L207" s="732"/>
      <c r="M207" s="856"/>
      <c r="N207" s="688"/>
      <c r="O207" s="122"/>
      <c r="P207" s="122"/>
      <c r="AH207" s="42" t="n">
        <v>1</v>
      </c>
    </row>
    <row r="208" customFormat="false" ht="27" hidden="false" customHeight="true" outlineLevel="0" collapsed="false">
      <c r="A208" s="136"/>
      <c r="B208" s="136"/>
      <c r="D208" s="470"/>
      <c r="E208" s="293" t="s">
        <v>109</v>
      </c>
      <c r="F208" s="876" t="str">
        <f aca="false">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76"/>
      <c r="H208" s="876"/>
      <c r="I208" s="876"/>
      <c r="J208" s="876"/>
      <c r="K208" s="876"/>
      <c r="L208" s="876"/>
      <c r="M208" s="726"/>
      <c r="N208" s="688"/>
      <c r="AH208" s="42" t="n">
        <v>26</v>
      </c>
    </row>
    <row r="209" s="42" customFormat="true" ht="60.75" hidden="true" customHeight="true" outlineLevel="0" collapsed="false">
      <c r="A209" s="136" t="s">
        <v>154</v>
      </c>
      <c r="B209" s="136" t="s">
        <v>155</v>
      </c>
      <c r="C209" s="340"/>
      <c r="D209" s="873"/>
      <c r="E209" s="293"/>
      <c r="F209" s="692" t="str">
        <f aca="false">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802" t="str">
        <f aca="false">INDEX(PT_DIFFERENTIATION_NTAR,MATCH(B209,PT_DIFFERENTIATION_NTAR_ID,0))</f>
        <v/>
      </c>
      <c r="H209" s="361"/>
      <c r="I209" s="861"/>
      <c r="J209" s="862"/>
      <c r="K209" s="374"/>
      <c r="L209" s="361" t="s">
        <v>303</v>
      </c>
      <c r="M209" s="84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688"/>
      <c r="O209" s="122"/>
      <c r="P209" s="122"/>
      <c r="AH209" s="42" t="n">
        <v>0</v>
      </c>
    </row>
    <row r="210" s="42" customFormat="true" ht="18.75" hidden="true" customHeight="true" outlineLevel="0" collapsed="false">
      <c r="A210" s="136"/>
      <c r="B210" s="136"/>
      <c r="C210" s="340" t="s">
        <v>1144</v>
      </c>
      <c r="D210" s="873"/>
      <c r="E210" s="293"/>
      <c r="F210" s="692"/>
      <c r="G210" s="802"/>
      <c r="H210" s="606"/>
      <c r="I210" s="170" t="s">
        <v>1143</v>
      </c>
      <c r="J210" s="214"/>
      <c r="K210" s="606"/>
      <c r="L210" s="732"/>
      <c r="M210" s="844"/>
      <c r="N210" s="688"/>
      <c r="O210" s="122"/>
      <c r="P210" s="122"/>
      <c r="AH210" s="42" t="n">
        <v>0</v>
      </c>
    </row>
    <row r="211" s="42" customFormat="true" ht="0.75" hidden="true" customHeight="true" outlineLevel="0" collapsed="false">
      <c r="A211" s="136"/>
      <c r="B211" s="136"/>
      <c r="C211" s="340" t="s">
        <v>1151</v>
      </c>
      <c r="D211" s="873"/>
      <c r="E211" s="293"/>
      <c r="F211" s="692"/>
      <c r="G211" s="872"/>
      <c r="H211" s="606"/>
      <c r="I211" s="170"/>
      <c r="J211" s="214"/>
      <c r="K211" s="606"/>
      <c r="L211" s="732"/>
      <c r="M211" s="844"/>
      <c r="N211" s="688"/>
      <c r="O211" s="122"/>
      <c r="P211" s="122"/>
      <c r="AH211" s="42" t="n">
        <v>0</v>
      </c>
    </row>
    <row r="212" s="42" customFormat="true" ht="45" hidden="true" customHeight="true" outlineLevel="0" collapsed="false">
      <c r="A212" s="136" t="s">
        <v>159</v>
      </c>
      <c r="B212" s="136" t="s">
        <v>160</v>
      </c>
      <c r="C212" s="340"/>
      <c r="D212" s="873"/>
      <c r="E212" s="293"/>
      <c r="F212" s="692" t="str">
        <f aca="false">INDEX(PT_DIFFERENTIATION_VTAR,MATCH(A212,PT_DIFFERENTIATION_VTAR_ID,0))</f>
        <v/>
      </c>
      <c r="G212" s="802" t="str">
        <f aca="false">INDEX(PT_DIFFERENTIATION_NTAR,MATCH(B212,PT_DIFFERENTIATION_NTAR_ID,0))</f>
        <v/>
      </c>
      <c r="H212" s="361"/>
      <c r="I212" s="861"/>
      <c r="J212" s="862"/>
      <c r="K212" s="374"/>
      <c r="L212" s="361" t="s">
        <v>303</v>
      </c>
      <c r="M212" s="844"/>
      <c r="N212" s="688"/>
      <c r="O212" s="122"/>
      <c r="P212" s="122"/>
      <c r="AH212" s="42" t="n">
        <v>0</v>
      </c>
    </row>
    <row r="213" s="42" customFormat="true" ht="18.75" hidden="true" customHeight="true" outlineLevel="0" collapsed="false">
      <c r="A213" s="136"/>
      <c r="B213" s="136"/>
      <c r="C213" s="340" t="s">
        <v>1144</v>
      </c>
      <c r="D213" s="873"/>
      <c r="E213" s="293"/>
      <c r="F213" s="692"/>
      <c r="G213" s="802"/>
      <c r="H213" s="606"/>
      <c r="I213" s="170" t="s">
        <v>1143</v>
      </c>
      <c r="J213" s="214"/>
      <c r="K213" s="606"/>
      <c r="L213" s="732"/>
      <c r="M213" s="878"/>
      <c r="N213" s="688"/>
      <c r="O213" s="122"/>
      <c r="P213" s="122"/>
      <c r="AH213" s="42" t="n">
        <v>0</v>
      </c>
    </row>
    <row r="214" s="42" customFormat="true" ht="0.75" hidden="true" customHeight="true" outlineLevel="0" collapsed="false">
      <c r="A214" s="136"/>
      <c r="B214" s="136"/>
      <c r="C214" s="340" t="s">
        <v>1151</v>
      </c>
      <c r="D214" s="873"/>
      <c r="E214" s="293"/>
      <c r="F214" s="692"/>
      <c r="G214" s="872"/>
      <c r="H214" s="606"/>
      <c r="I214" s="170"/>
      <c r="J214" s="214"/>
      <c r="K214" s="606"/>
      <c r="L214" s="732"/>
      <c r="M214" s="856"/>
      <c r="N214" s="688"/>
      <c r="O214" s="122"/>
      <c r="P214" s="122"/>
      <c r="AH214" s="42" t="n">
        <v>0</v>
      </c>
    </row>
    <row r="215" s="42" customFormat="true" ht="45" hidden="true" customHeight="true" outlineLevel="0" collapsed="false">
      <c r="A215" s="136" t="s">
        <v>166</v>
      </c>
      <c r="B215" s="136" t="s">
        <v>167</v>
      </c>
      <c r="C215" s="340"/>
      <c r="D215" s="873"/>
      <c r="E215" s="293"/>
      <c r="F215" s="692" t="str">
        <f aca="false">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802" t="str">
        <f aca="false">INDEX(PT_DIFFERENTIATION_NTAR,MATCH(B215,PT_DIFFERENTIATION_NTAR_ID,0))</f>
        <v/>
      </c>
      <c r="H215" s="361"/>
      <c r="I215" s="861"/>
      <c r="J215" s="862"/>
      <c r="K215" s="374"/>
      <c r="L215" s="361" t="s">
        <v>303</v>
      </c>
      <c r="M215" s="856"/>
      <c r="N215" s="688"/>
      <c r="O215" s="122"/>
      <c r="P215" s="122"/>
      <c r="AH215" s="42" t="n">
        <v>0</v>
      </c>
    </row>
    <row r="216" s="42" customFormat="true" ht="18.75" hidden="true" customHeight="true" outlineLevel="0" collapsed="false">
      <c r="A216" s="136"/>
      <c r="B216" s="136"/>
      <c r="C216" s="340" t="s">
        <v>1144</v>
      </c>
      <c r="D216" s="873"/>
      <c r="E216" s="293"/>
      <c r="F216" s="692"/>
      <c r="G216" s="802"/>
      <c r="H216" s="606"/>
      <c r="I216" s="170" t="s">
        <v>1143</v>
      </c>
      <c r="J216" s="214"/>
      <c r="K216" s="606"/>
      <c r="L216" s="732"/>
      <c r="M216" s="856"/>
      <c r="N216" s="688"/>
      <c r="O216" s="122"/>
      <c r="P216" s="122"/>
      <c r="AH216" s="42" t="n">
        <v>0</v>
      </c>
    </row>
    <row r="217" s="42" customFormat="true" ht="0.75" hidden="true" customHeight="true" outlineLevel="0" collapsed="false">
      <c r="A217" s="136"/>
      <c r="B217" s="136"/>
      <c r="C217" s="340" t="s">
        <v>1151</v>
      </c>
      <c r="D217" s="873"/>
      <c r="E217" s="293"/>
      <c r="F217" s="692"/>
      <c r="G217" s="872"/>
      <c r="H217" s="606"/>
      <c r="I217" s="170"/>
      <c r="J217" s="214"/>
      <c r="K217" s="606"/>
      <c r="L217" s="732"/>
      <c r="M217" s="856"/>
      <c r="N217" s="688"/>
      <c r="O217" s="122"/>
      <c r="P217" s="122"/>
      <c r="AH217" s="42" t="n">
        <v>0</v>
      </c>
    </row>
    <row r="218" s="42" customFormat="true" ht="45" hidden="true" customHeight="true" outlineLevel="0" collapsed="false">
      <c r="A218" s="136" t="s">
        <v>172</v>
      </c>
      <c r="B218" s="136" t="s">
        <v>173</v>
      </c>
      <c r="C218" s="340"/>
      <c r="D218" s="873"/>
      <c r="E218" s="293"/>
      <c r="F218" s="692" t="str">
        <f aca="false">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802" t="str">
        <f aca="false">INDEX(PT_DIFFERENTIATION_NTAR,MATCH(B218,PT_DIFFERENTIATION_NTAR_ID,0))</f>
        <v/>
      </c>
      <c r="H218" s="361"/>
      <c r="I218" s="861"/>
      <c r="J218" s="862"/>
      <c r="K218" s="374"/>
      <c r="L218" s="361" t="s">
        <v>303</v>
      </c>
      <c r="M218" s="856"/>
      <c r="N218" s="688"/>
      <c r="O218" s="122"/>
      <c r="P218" s="122"/>
      <c r="AH218" s="42" t="n">
        <v>0</v>
      </c>
    </row>
    <row r="219" s="42" customFormat="true" ht="18.75" hidden="true" customHeight="true" outlineLevel="0" collapsed="false">
      <c r="A219" s="136"/>
      <c r="B219" s="136"/>
      <c r="C219" s="340" t="s">
        <v>1144</v>
      </c>
      <c r="D219" s="873"/>
      <c r="E219" s="293"/>
      <c r="F219" s="692"/>
      <c r="G219" s="802"/>
      <c r="H219" s="606"/>
      <c r="I219" s="170" t="s">
        <v>1143</v>
      </c>
      <c r="J219" s="214"/>
      <c r="K219" s="606"/>
      <c r="L219" s="732"/>
      <c r="M219" s="856"/>
      <c r="N219" s="688"/>
      <c r="O219" s="122"/>
      <c r="P219" s="122"/>
      <c r="AH219" s="42" t="n">
        <v>0</v>
      </c>
    </row>
    <row r="220" s="42" customFormat="true" ht="0.75" hidden="true" customHeight="true" outlineLevel="0" collapsed="false">
      <c r="A220" s="136"/>
      <c r="B220" s="136"/>
      <c r="C220" s="340" t="s">
        <v>1151</v>
      </c>
      <c r="D220" s="873"/>
      <c r="E220" s="293"/>
      <c r="F220" s="692"/>
      <c r="G220" s="872"/>
      <c r="H220" s="606"/>
      <c r="I220" s="170"/>
      <c r="J220" s="214"/>
      <c r="K220" s="606"/>
      <c r="L220" s="732"/>
      <c r="M220" s="856"/>
      <c r="N220" s="688"/>
      <c r="O220" s="122"/>
      <c r="P220" s="122"/>
      <c r="AH220" s="42" t="n">
        <v>0</v>
      </c>
    </row>
    <row r="221" s="42" customFormat="true" ht="18.75" hidden="true" customHeight="true" outlineLevel="0" collapsed="false">
      <c r="A221" s="136" t="s">
        <v>178</v>
      </c>
      <c r="B221" s="136" t="s">
        <v>179</v>
      </c>
      <c r="C221" s="340"/>
      <c r="D221" s="873"/>
      <c r="E221" s="293"/>
      <c r="F221" s="692" t="str">
        <f aca="false">INDEX(PT_DIFFERENTIATION_VTAR,MATCH(A221,PT_DIFFERENTIATION_VTAR_ID,0))</f>
        <v>Тарифы на услуги по передаче тепловой энергии</v>
      </c>
      <c r="G221" s="802" t="str">
        <f aca="false">INDEX(PT_DIFFERENTIATION_NTAR,MATCH(B221,PT_DIFFERENTIATION_NTAR_ID,0))</f>
        <v/>
      </c>
      <c r="H221" s="361"/>
      <c r="I221" s="861"/>
      <c r="J221" s="862"/>
      <c r="K221" s="374"/>
      <c r="L221" s="361" t="s">
        <v>303</v>
      </c>
      <c r="M221" s="856"/>
      <c r="N221" s="688"/>
      <c r="O221" s="122"/>
      <c r="P221" s="122"/>
      <c r="AH221" s="42" t="n">
        <v>0</v>
      </c>
    </row>
    <row r="222" s="42" customFormat="true" ht="18.75" hidden="true" customHeight="true" outlineLevel="0" collapsed="false">
      <c r="A222" s="136"/>
      <c r="B222" s="136"/>
      <c r="C222" s="340" t="s">
        <v>1144</v>
      </c>
      <c r="D222" s="873"/>
      <c r="E222" s="293"/>
      <c r="F222" s="692"/>
      <c r="G222" s="802"/>
      <c r="H222" s="606"/>
      <c r="I222" s="170" t="s">
        <v>1143</v>
      </c>
      <c r="J222" s="214"/>
      <c r="K222" s="606"/>
      <c r="L222" s="732"/>
      <c r="M222" s="856"/>
      <c r="N222" s="688"/>
      <c r="O222" s="122"/>
      <c r="P222" s="122"/>
      <c r="AH222" s="42" t="n">
        <v>0</v>
      </c>
    </row>
    <row r="223" s="42" customFormat="true" ht="0.75" hidden="true" customHeight="true" outlineLevel="0" collapsed="false">
      <c r="A223" s="136"/>
      <c r="B223" s="136"/>
      <c r="C223" s="340" t="s">
        <v>1151</v>
      </c>
      <c r="D223" s="873"/>
      <c r="E223" s="293"/>
      <c r="F223" s="692"/>
      <c r="G223" s="872"/>
      <c r="H223" s="606"/>
      <c r="I223" s="170"/>
      <c r="J223" s="214"/>
      <c r="K223" s="606"/>
      <c r="L223" s="732"/>
      <c r="M223" s="856"/>
      <c r="N223" s="688"/>
      <c r="O223" s="122"/>
      <c r="P223" s="122"/>
      <c r="AH223" s="42" t="n">
        <v>0</v>
      </c>
    </row>
    <row r="224" s="42" customFormat="true" ht="18.75" hidden="true" customHeight="true" outlineLevel="0" collapsed="false">
      <c r="A224" s="136" t="s">
        <v>184</v>
      </c>
      <c r="B224" s="136" t="s">
        <v>185</v>
      </c>
      <c r="C224" s="340"/>
      <c r="D224" s="873"/>
      <c r="E224" s="293"/>
      <c r="F224" s="692" t="str">
        <f aca="false">INDEX(PT_DIFFERENTIATION_VTAR,MATCH(A224,PT_DIFFERENTIATION_VTAR_ID,0))</f>
        <v>Тарифы на услуги по передаче теплоносителя</v>
      </c>
      <c r="G224" s="802" t="str">
        <f aca="false">INDEX(PT_DIFFERENTIATION_NTAR,MATCH(B224,PT_DIFFERENTIATION_NTAR_ID,0))</f>
        <v/>
      </c>
      <c r="H224" s="361"/>
      <c r="I224" s="861"/>
      <c r="J224" s="862"/>
      <c r="K224" s="374"/>
      <c r="L224" s="361" t="s">
        <v>303</v>
      </c>
      <c r="M224" s="856"/>
      <c r="N224" s="688"/>
      <c r="O224" s="122"/>
      <c r="P224" s="122"/>
      <c r="AH224" s="42" t="n">
        <v>0</v>
      </c>
    </row>
    <row r="225" s="42" customFormat="true" ht="18.75" hidden="true" customHeight="true" outlineLevel="0" collapsed="false">
      <c r="A225" s="136"/>
      <c r="B225" s="136"/>
      <c r="C225" s="340" t="s">
        <v>1144</v>
      </c>
      <c r="D225" s="873"/>
      <c r="E225" s="293"/>
      <c r="F225" s="692"/>
      <c r="G225" s="802"/>
      <c r="H225" s="606"/>
      <c r="I225" s="170" t="s">
        <v>1143</v>
      </c>
      <c r="J225" s="214"/>
      <c r="K225" s="606"/>
      <c r="L225" s="732"/>
      <c r="M225" s="856"/>
      <c r="N225" s="688"/>
      <c r="O225" s="122"/>
      <c r="P225" s="122"/>
      <c r="AH225" s="42" t="n">
        <v>0</v>
      </c>
    </row>
    <row r="226" s="42" customFormat="true" ht="0.75" hidden="true" customHeight="true" outlineLevel="0" collapsed="false">
      <c r="A226" s="136"/>
      <c r="B226" s="136"/>
      <c r="C226" s="340" t="s">
        <v>1151</v>
      </c>
      <c r="D226" s="873"/>
      <c r="E226" s="293"/>
      <c r="F226" s="692"/>
      <c r="G226" s="872"/>
      <c r="H226" s="606"/>
      <c r="I226" s="170"/>
      <c r="J226" s="214"/>
      <c r="K226" s="606"/>
      <c r="L226" s="732"/>
      <c r="M226" s="856"/>
      <c r="N226" s="688"/>
      <c r="O226" s="122"/>
      <c r="P226" s="122"/>
      <c r="AH226" s="42" t="n">
        <v>0</v>
      </c>
    </row>
    <row r="227" s="42" customFormat="true" ht="18.75" hidden="true" customHeight="true" outlineLevel="0" collapsed="false">
      <c r="A227" s="136" t="s">
        <v>190</v>
      </c>
      <c r="B227" s="136" t="s">
        <v>191</v>
      </c>
      <c r="C227" s="340"/>
      <c r="D227" s="873"/>
      <c r="E227" s="293"/>
      <c r="F227" s="692" t="str">
        <f aca="false">INDEX(PT_DIFFERENTIATION_VTAR,MATCH(A227,PT_DIFFERENTIATION_VTAR_ID,0))</f>
        <v>Плата за услуги по поддержанию резервной тепловой мощности при отсутствии потребления тепловой энергии</v>
      </c>
      <c r="G227" s="802" t="str">
        <f aca="false">INDEX(PT_DIFFERENTIATION_NTAR,MATCH(B227,PT_DIFFERENTIATION_NTAR_ID,0))</f>
        <v/>
      </c>
      <c r="H227" s="361"/>
      <c r="I227" s="861"/>
      <c r="J227" s="862"/>
      <c r="K227" s="374"/>
      <c r="L227" s="361" t="s">
        <v>303</v>
      </c>
      <c r="M227" s="856"/>
      <c r="N227" s="688"/>
      <c r="O227" s="122"/>
      <c r="P227" s="122"/>
      <c r="AH227" s="42" t="n">
        <v>0</v>
      </c>
    </row>
    <row r="228" s="42" customFormat="true" ht="18.75" hidden="true" customHeight="true" outlineLevel="0" collapsed="false">
      <c r="A228" s="136"/>
      <c r="B228" s="136"/>
      <c r="C228" s="340" t="s">
        <v>1144</v>
      </c>
      <c r="D228" s="873"/>
      <c r="E228" s="293"/>
      <c r="F228" s="692"/>
      <c r="G228" s="802"/>
      <c r="H228" s="606"/>
      <c r="I228" s="170" t="s">
        <v>1143</v>
      </c>
      <c r="J228" s="214"/>
      <c r="K228" s="606"/>
      <c r="L228" s="732"/>
      <c r="M228" s="856"/>
      <c r="N228" s="688"/>
      <c r="O228" s="122"/>
      <c r="P228" s="122"/>
      <c r="AH228" s="42" t="n">
        <v>0</v>
      </c>
    </row>
    <row r="229" s="42" customFormat="true" ht="0.75" hidden="true" customHeight="true" outlineLevel="0" collapsed="false">
      <c r="A229" s="136"/>
      <c r="B229" s="136"/>
      <c r="C229" s="340" t="s">
        <v>1151</v>
      </c>
      <c r="D229" s="873"/>
      <c r="E229" s="293"/>
      <c r="F229" s="692"/>
      <c r="G229" s="872"/>
      <c r="H229" s="606"/>
      <c r="I229" s="170"/>
      <c r="J229" s="214"/>
      <c r="K229" s="606"/>
      <c r="L229" s="732"/>
      <c r="M229" s="856"/>
      <c r="N229" s="688"/>
      <c r="O229" s="122"/>
      <c r="P229" s="122"/>
      <c r="AH229" s="42" t="n">
        <v>0</v>
      </c>
    </row>
    <row r="230" s="42" customFormat="true" ht="18.75" hidden="true" customHeight="true" outlineLevel="0" collapsed="false">
      <c r="A230" s="136" t="s">
        <v>196</v>
      </c>
      <c r="B230" s="136" t="s">
        <v>197</v>
      </c>
      <c r="C230" s="340"/>
      <c r="D230" s="873"/>
      <c r="E230" s="293"/>
      <c r="F230" s="692" t="str">
        <f aca="false">INDEX(PT_DIFFERENTIATION_VTAR,MATCH(A230,PT_DIFFERENTIATION_VTAR_ID,0))</f>
        <v>Плата за подключение (технологическое присоединение) к системе теплоснабжения</v>
      </c>
      <c r="G230" s="802" t="str">
        <f aca="false">INDEX(PT_DIFFERENTIATION_NTAR,MATCH(B230,PT_DIFFERENTIATION_NTAR_ID,0))</f>
        <v/>
      </c>
      <c r="H230" s="361"/>
      <c r="I230" s="861"/>
      <c r="J230" s="862"/>
      <c r="K230" s="374"/>
      <c r="L230" s="361" t="s">
        <v>303</v>
      </c>
      <c r="M230" s="856"/>
      <c r="N230" s="688"/>
      <c r="O230" s="122"/>
      <c r="P230" s="122"/>
      <c r="AH230" s="42" t="n">
        <v>0</v>
      </c>
    </row>
    <row r="231" s="42" customFormat="true" ht="18.75" hidden="true" customHeight="true" outlineLevel="0" collapsed="false">
      <c r="A231" s="136"/>
      <c r="B231" s="136"/>
      <c r="C231" s="340" t="s">
        <v>1144</v>
      </c>
      <c r="D231" s="873"/>
      <c r="E231" s="293"/>
      <c r="F231" s="692"/>
      <c r="G231" s="802"/>
      <c r="H231" s="606"/>
      <c r="I231" s="170" t="s">
        <v>1143</v>
      </c>
      <c r="J231" s="214"/>
      <c r="K231" s="606"/>
      <c r="L231" s="732"/>
      <c r="M231" s="856"/>
      <c r="N231" s="688"/>
      <c r="O231" s="122"/>
      <c r="P231" s="122"/>
      <c r="AH231" s="42" t="n">
        <v>0</v>
      </c>
    </row>
    <row r="232" s="42" customFormat="true" ht="0.75" hidden="true" customHeight="true" outlineLevel="0" collapsed="false">
      <c r="A232" s="136"/>
      <c r="B232" s="136"/>
      <c r="C232" s="340" t="s">
        <v>1151</v>
      </c>
      <c r="D232" s="873"/>
      <c r="E232" s="293"/>
      <c r="F232" s="692"/>
      <c r="G232" s="872"/>
      <c r="H232" s="606"/>
      <c r="I232" s="170"/>
      <c r="J232" s="214"/>
      <c r="K232" s="606"/>
      <c r="L232" s="732"/>
      <c r="M232" s="856"/>
      <c r="N232" s="688"/>
      <c r="O232" s="122"/>
      <c r="P232" s="122"/>
      <c r="AH232" s="42" t="n">
        <v>0</v>
      </c>
    </row>
    <row r="233" s="42" customFormat="true" ht="18.75" hidden="true" customHeight="true" outlineLevel="0" collapsed="false">
      <c r="A233" s="136" t="s">
        <v>202</v>
      </c>
      <c r="B233" s="136" t="s">
        <v>203</v>
      </c>
      <c r="C233" s="340"/>
      <c r="D233" s="873"/>
      <c r="E233" s="293"/>
      <c r="F233" s="692" t="str">
        <f aca="false">INDEX(PT_DIFFERENTIATION_VTAR,MATCH(A233,PT_DIFFERENTIATION_VTAR_ID,0))</f>
        <v>Плата за подключение (технологическое присоединение) к системе теплоснабжения (индивидуальная)</v>
      </c>
      <c r="G233" s="802" t="str">
        <f aca="false">INDEX(PT_DIFFERENTIATION_NTAR,MATCH(B233,PT_DIFFERENTIATION_NTAR_ID,0))</f>
        <v/>
      </c>
      <c r="H233" s="361"/>
      <c r="I233" s="861"/>
      <c r="J233" s="862"/>
      <c r="K233" s="374"/>
      <c r="L233" s="361" t="s">
        <v>303</v>
      </c>
      <c r="M233" s="856"/>
      <c r="N233" s="688"/>
      <c r="O233" s="122"/>
      <c r="P233" s="122"/>
      <c r="AH233" s="42" t="n">
        <v>0</v>
      </c>
    </row>
    <row r="234" s="42" customFormat="true" ht="18.75" hidden="true" customHeight="true" outlineLevel="0" collapsed="false">
      <c r="A234" s="136"/>
      <c r="B234" s="136"/>
      <c r="C234" s="340" t="s">
        <v>1144</v>
      </c>
      <c r="D234" s="873"/>
      <c r="E234" s="293"/>
      <c r="F234" s="692"/>
      <c r="G234" s="802"/>
      <c r="H234" s="606"/>
      <c r="I234" s="170" t="s">
        <v>1143</v>
      </c>
      <c r="J234" s="214"/>
      <c r="K234" s="606"/>
      <c r="L234" s="732"/>
      <c r="M234" s="856"/>
      <c r="N234" s="688"/>
      <c r="O234" s="122"/>
      <c r="P234" s="122"/>
      <c r="AH234" s="42" t="n">
        <v>0</v>
      </c>
    </row>
    <row r="235" s="42" customFormat="true" ht="0.75" hidden="true" customHeight="true" outlineLevel="0" collapsed="false">
      <c r="A235" s="136"/>
      <c r="B235" s="136"/>
      <c r="C235" s="340" t="s">
        <v>1151</v>
      </c>
      <c r="D235" s="873"/>
      <c r="E235" s="293"/>
      <c r="F235" s="692"/>
      <c r="G235" s="872"/>
      <c r="H235" s="606"/>
      <c r="I235" s="170"/>
      <c r="J235" s="214"/>
      <c r="K235" s="606"/>
      <c r="L235" s="732"/>
      <c r="M235" s="856"/>
      <c r="N235" s="688"/>
      <c r="O235" s="122"/>
      <c r="P235" s="122"/>
      <c r="AH235" s="42" t="n">
        <v>0</v>
      </c>
    </row>
    <row r="236" s="42" customFormat="true" ht="18.75" hidden="true" customHeight="true" outlineLevel="0" collapsed="false">
      <c r="A236" s="136" t="s">
        <v>222</v>
      </c>
      <c r="B236" s="136" t="s">
        <v>223</v>
      </c>
      <c r="C236" s="340"/>
      <c r="D236" s="873"/>
      <c r="E236" s="293"/>
      <c r="F236" s="692" t="str">
        <f aca="false">INDEX(PT_DIFFERENTIATION_VTAR,MATCH(A236,PT_DIFFERENTIATION_VTAR_ID,0))</f>
        <v>Тариф на питьевую воду (питьевое водоснабжение)</v>
      </c>
      <c r="G236" s="802" t="str">
        <f aca="false">INDEX(PT_DIFFERENTIATION_NTAR,MATCH(B236,PT_DIFFERENTIATION_NTAR_ID,0))</f>
        <v/>
      </c>
      <c r="H236" s="361"/>
      <c r="I236" s="861"/>
      <c r="J236" s="862"/>
      <c r="K236" s="374"/>
      <c r="L236" s="361" t="s">
        <v>303</v>
      </c>
      <c r="M236" s="856"/>
      <c r="N236" s="688"/>
      <c r="O236" s="122"/>
      <c r="P236" s="122"/>
      <c r="AH236" s="42" t="n">
        <v>0</v>
      </c>
    </row>
    <row r="237" s="42" customFormat="true" ht="18.75" hidden="true" customHeight="true" outlineLevel="0" collapsed="false">
      <c r="A237" s="136"/>
      <c r="B237" s="136"/>
      <c r="C237" s="340" t="s">
        <v>1144</v>
      </c>
      <c r="D237" s="873"/>
      <c r="E237" s="293"/>
      <c r="F237" s="692"/>
      <c r="G237" s="802"/>
      <c r="H237" s="606"/>
      <c r="I237" s="170" t="s">
        <v>1143</v>
      </c>
      <c r="J237" s="214"/>
      <c r="K237" s="606"/>
      <c r="L237" s="732"/>
      <c r="M237" s="856"/>
      <c r="N237" s="688"/>
      <c r="O237" s="122"/>
      <c r="P237" s="122"/>
      <c r="AH237" s="42" t="n">
        <v>0</v>
      </c>
    </row>
    <row r="238" s="42" customFormat="true" ht="0.75" hidden="true" customHeight="true" outlineLevel="0" collapsed="false">
      <c r="A238" s="136"/>
      <c r="B238" s="136"/>
      <c r="C238" s="340" t="s">
        <v>1151</v>
      </c>
      <c r="D238" s="873"/>
      <c r="E238" s="293"/>
      <c r="F238" s="692"/>
      <c r="G238" s="872"/>
      <c r="H238" s="606"/>
      <c r="I238" s="170"/>
      <c r="J238" s="214"/>
      <c r="K238" s="606"/>
      <c r="L238" s="732"/>
      <c r="M238" s="856"/>
      <c r="N238" s="688"/>
      <c r="O238" s="122"/>
      <c r="P238" s="122"/>
      <c r="AH238" s="42" t="n">
        <v>0</v>
      </c>
    </row>
    <row r="239" s="42" customFormat="true" ht="18.75" hidden="true" customHeight="true" outlineLevel="0" collapsed="false">
      <c r="A239" s="136" t="s">
        <v>227</v>
      </c>
      <c r="B239" s="136" t="s">
        <v>228</v>
      </c>
      <c r="C239" s="340"/>
      <c r="D239" s="873"/>
      <c r="E239" s="293"/>
      <c r="F239" s="692" t="str">
        <f aca="false">INDEX(PT_DIFFERENTIATION_VTAR,MATCH(A239,PT_DIFFERENTIATION_VTAR_ID,0))</f>
        <v>Тариф на техническую воду</v>
      </c>
      <c r="G239" s="802" t="str">
        <f aca="false">INDEX(PT_DIFFERENTIATION_NTAR,MATCH(B239,PT_DIFFERENTIATION_NTAR_ID,0))</f>
        <v/>
      </c>
      <c r="H239" s="361"/>
      <c r="I239" s="861"/>
      <c r="J239" s="862"/>
      <c r="K239" s="374"/>
      <c r="L239" s="361" t="s">
        <v>303</v>
      </c>
      <c r="M239" s="856"/>
      <c r="N239" s="688"/>
      <c r="O239" s="122"/>
      <c r="P239" s="122"/>
      <c r="AH239" s="42" t="n">
        <v>0</v>
      </c>
    </row>
    <row r="240" s="42" customFormat="true" ht="18.75" hidden="true" customHeight="true" outlineLevel="0" collapsed="false">
      <c r="A240" s="136"/>
      <c r="B240" s="136"/>
      <c r="C240" s="340" t="s">
        <v>1144</v>
      </c>
      <c r="D240" s="873"/>
      <c r="E240" s="293"/>
      <c r="F240" s="692"/>
      <c r="G240" s="802"/>
      <c r="H240" s="606"/>
      <c r="I240" s="170" t="s">
        <v>1143</v>
      </c>
      <c r="J240" s="214"/>
      <c r="K240" s="606"/>
      <c r="L240" s="732"/>
      <c r="M240" s="856"/>
      <c r="N240" s="688"/>
      <c r="O240" s="122"/>
      <c r="P240" s="122"/>
      <c r="AH240" s="42" t="n">
        <v>0</v>
      </c>
    </row>
    <row r="241" s="42" customFormat="true" ht="0.75" hidden="true" customHeight="true" outlineLevel="0" collapsed="false">
      <c r="A241" s="136"/>
      <c r="B241" s="136"/>
      <c r="C241" s="340" t="s">
        <v>1151</v>
      </c>
      <c r="D241" s="873"/>
      <c r="E241" s="293"/>
      <c r="F241" s="692"/>
      <c r="G241" s="872"/>
      <c r="H241" s="606"/>
      <c r="I241" s="170"/>
      <c r="J241" s="214"/>
      <c r="K241" s="606"/>
      <c r="L241" s="732"/>
      <c r="M241" s="856"/>
      <c r="N241" s="688"/>
      <c r="O241" s="122"/>
      <c r="P241" s="122"/>
      <c r="AH241" s="42" t="n">
        <v>0</v>
      </c>
    </row>
    <row r="242" s="42" customFormat="true" ht="18.75" hidden="true" customHeight="true" outlineLevel="0" collapsed="false">
      <c r="A242" s="136" t="s">
        <v>232</v>
      </c>
      <c r="B242" s="136" t="s">
        <v>233</v>
      </c>
      <c r="C242" s="340"/>
      <c r="D242" s="873"/>
      <c r="E242" s="293"/>
      <c r="F242" s="692" t="str">
        <f aca="false">INDEX(PT_DIFFERENTIATION_VTAR,MATCH(A242,PT_DIFFERENTIATION_VTAR_ID,0))</f>
        <v>Тариф на транспортировку воды</v>
      </c>
      <c r="G242" s="802" t="str">
        <f aca="false">INDEX(PT_DIFFERENTIATION_NTAR,MATCH(B242,PT_DIFFERENTIATION_NTAR_ID,0))</f>
        <v/>
      </c>
      <c r="H242" s="361"/>
      <c r="I242" s="861"/>
      <c r="J242" s="862"/>
      <c r="K242" s="374"/>
      <c r="L242" s="361" t="s">
        <v>303</v>
      </c>
      <c r="M242" s="856"/>
      <c r="N242" s="688"/>
      <c r="O242" s="122"/>
      <c r="P242" s="122"/>
      <c r="AH242" s="42" t="n">
        <v>0</v>
      </c>
    </row>
    <row r="243" s="42" customFormat="true" ht="18.75" hidden="true" customHeight="true" outlineLevel="0" collapsed="false">
      <c r="A243" s="136"/>
      <c r="B243" s="136"/>
      <c r="C243" s="340" t="s">
        <v>1144</v>
      </c>
      <c r="D243" s="873"/>
      <c r="E243" s="293"/>
      <c r="F243" s="692"/>
      <c r="G243" s="802"/>
      <c r="H243" s="606"/>
      <c r="I243" s="170" t="s">
        <v>1143</v>
      </c>
      <c r="J243" s="214"/>
      <c r="K243" s="606"/>
      <c r="L243" s="732"/>
      <c r="M243" s="856"/>
      <c r="N243" s="688"/>
      <c r="O243" s="122"/>
      <c r="P243" s="122"/>
      <c r="AH243" s="42" t="n">
        <v>0</v>
      </c>
    </row>
    <row r="244" s="42" customFormat="true" ht="0.75" hidden="true" customHeight="true" outlineLevel="0" collapsed="false">
      <c r="A244" s="136"/>
      <c r="B244" s="136"/>
      <c r="C244" s="340" t="s">
        <v>1151</v>
      </c>
      <c r="D244" s="873"/>
      <c r="E244" s="293"/>
      <c r="F244" s="692"/>
      <c r="G244" s="872"/>
      <c r="H244" s="606"/>
      <c r="I244" s="170"/>
      <c r="J244" s="214"/>
      <c r="K244" s="606"/>
      <c r="L244" s="732"/>
      <c r="M244" s="856"/>
      <c r="N244" s="688"/>
      <c r="O244" s="122"/>
      <c r="P244" s="122"/>
      <c r="AH244" s="42" t="n">
        <v>0</v>
      </c>
    </row>
    <row r="245" s="42" customFormat="true" ht="18.75" hidden="true" customHeight="true" outlineLevel="0" collapsed="false">
      <c r="A245" s="136" t="s">
        <v>237</v>
      </c>
      <c r="B245" s="136" t="s">
        <v>238</v>
      </c>
      <c r="C245" s="340"/>
      <c r="D245" s="873"/>
      <c r="E245" s="293"/>
      <c r="F245" s="692" t="str">
        <f aca="false">INDEX(PT_DIFFERENTIATION_VTAR,MATCH(A245,PT_DIFFERENTIATION_VTAR_ID,0))</f>
        <v>Тариф на подвоз воды</v>
      </c>
      <c r="G245" s="802" t="str">
        <f aca="false">INDEX(PT_DIFFERENTIATION_NTAR,MATCH(B245,PT_DIFFERENTIATION_NTAR_ID,0))</f>
        <v/>
      </c>
      <c r="H245" s="361"/>
      <c r="I245" s="861"/>
      <c r="J245" s="862"/>
      <c r="K245" s="374"/>
      <c r="L245" s="361" t="s">
        <v>303</v>
      </c>
      <c r="M245" s="856"/>
      <c r="N245" s="688"/>
      <c r="O245" s="122"/>
      <c r="P245" s="122"/>
      <c r="AH245" s="42" t="n">
        <v>0</v>
      </c>
    </row>
    <row r="246" s="42" customFormat="true" ht="18.75" hidden="true" customHeight="true" outlineLevel="0" collapsed="false">
      <c r="A246" s="136"/>
      <c r="B246" s="136"/>
      <c r="C246" s="340" t="s">
        <v>1144</v>
      </c>
      <c r="D246" s="873"/>
      <c r="E246" s="293"/>
      <c r="F246" s="692"/>
      <c r="G246" s="802"/>
      <c r="H246" s="606"/>
      <c r="I246" s="170" t="s">
        <v>1143</v>
      </c>
      <c r="J246" s="214"/>
      <c r="K246" s="606"/>
      <c r="L246" s="732"/>
      <c r="M246" s="856"/>
      <c r="N246" s="688"/>
      <c r="O246" s="122"/>
      <c r="P246" s="122"/>
      <c r="AH246" s="42" t="n">
        <v>0</v>
      </c>
    </row>
    <row r="247" s="42" customFormat="true" ht="0.75" hidden="true" customHeight="true" outlineLevel="0" collapsed="false">
      <c r="A247" s="136"/>
      <c r="B247" s="136"/>
      <c r="C247" s="340" t="s">
        <v>1151</v>
      </c>
      <c r="D247" s="873"/>
      <c r="E247" s="293"/>
      <c r="F247" s="692"/>
      <c r="G247" s="872"/>
      <c r="H247" s="606"/>
      <c r="I247" s="170"/>
      <c r="J247" s="214"/>
      <c r="K247" s="606"/>
      <c r="L247" s="732"/>
      <c r="M247" s="856"/>
      <c r="N247" s="688"/>
      <c r="O247" s="122"/>
      <c r="P247" s="122"/>
      <c r="AH247" s="42" t="n">
        <v>0</v>
      </c>
    </row>
    <row r="248" s="42" customFormat="true" ht="18.75" hidden="true" customHeight="true" outlineLevel="0" collapsed="false">
      <c r="A248" s="136" t="s">
        <v>242</v>
      </c>
      <c r="B248" s="136" t="s">
        <v>243</v>
      </c>
      <c r="C248" s="340"/>
      <c r="D248" s="873"/>
      <c r="E248" s="293"/>
      <c r="F248" s="692" t="str">
        <f aca="false">INDEX(PT_DIFFERENTIATION_VTAR,MATCH(A248,PT_DIFFERENTIATION_VTAR_ID,0))</f>
        <v>Тариф на подключение (технологическое присоединение) к централизованной системе холодного водоснабжения</v>
      </c>
      <c r="G248" s="802" t="str">
        <f aca="false">INDEX(PT_DIFFERENTIATION_NTAR,MATCH(B248,PT_DIFFERENTIATION_NTAR_ID,0))</f>
        <v/>
      </c>
      <c r="H248" s="361"/>
      <c r="I248" s="861"/>
      <c r="J248" s="862"/>
      <c r="K248" s="374"/>
      <c r="L248" s="361" t="s">
        <v>303</v>
      </c>
      <c r="M248" s="856"/>
      <c r="N248" s="688"/>
      <c r="O248" s="122"/>
      <c r="P248" s="122"/>
      <c r="AH248" s="42" t="n">
        <v>0</v>
      </c>
    </row>
    <row r="249" s="42" customFormat="true" ht="18.75" hidden="true" customHeight="true" outlineLevel="0" collapsed="false">
      <c r="A249" s="136"/>
      <c r="B249" s="136"/>
      <c r="C249" s="340" t="s">
        <v>1144</v>
      </c>
      <c r="D249" s="873"/>
      <c r="E249" s="293"/>
      <c r="F249" s="692"/>
      <c r="G249" s="802"/>
      <c r="H249" s="606"/>
      <c r="I249" s="170" t="s">
        <v>1143</v>
      </c>
      <c r="J249" s="214"/>
      <c r="K249" s="606"/>
      <c r="L249" s="732"/>
      <c r="M249" s="856"/>
      <c r="N249" s="688"/>
      <c r="O249" s="122"/>
      <c r="P249" s="122"/>
      <c r="AH249" s="42" t="n">
        <v>0</v>
      </c>
    </row>
    <row r="250" s="42" customFormat="true" ht="0.75" hidden="true" customHeight="true" outlineLevel="0" collapsed="false">
      <c r="A250" s="136"/>
      <c r="B250" s="136"/>
      <c r="C250" s="340" t="s">
        <v>1151</v>
      </c>
      <c r="D250" s="873"/>
      <c r="E250" s="293"/>
      <c r="F250" s="692"/>
      <c r="G250" s="872"/>
      <c r="H250" s="606"/>
      <c r="I250" s="170"/>
      <c r="J250" s="214"/>
      <c r="K250" s="606"/>
      <c r="L250" s="732"/>
      <c r="M250" s="856"/>
      <c r="N250" s="688"/>
      <c r="O250" s="122"/>
      <c r="P250" s="122"/>
      <c r="AH250" s="42" t="n">
        <v>0</v>
      </c>
    </row>
    <row r="251" s="42" customFormat="true" ht="18.75" hidden="true" customHeight="true" outlineLevel="0" collapsed="false">
      <c r="A251" s="136" t="s">
        <v>247</v>
      </c>
      <c r="B251" s="136" t="s">
        <v>248</v>
      </c>
      <c r="C251" s="340"/>
      <c r="D251" s="873"/>
      <c r="E251" s="293"/>
      <c r="F251" s="692" t="str">
        <f aca="false">INDEX(PT_DIFFERENTIATION_VTAR,MATCH(A251,PT_DIFFERENTIATION_VTAR_ID,0))</f>
        <v>Тариф на горячую воду (горячее водоснабжение)</v>
      </c>
      <c r="G251" s="802" t="str">
        <f aca="false">INDEX(PT_DIFFERENTIATION_NTAR,MATCH(B251,PT_DIFFERENTIATION_NTAR_ID,0))</f>
        <v/>
      </c>
      <c r="H251" s="361"/>
      <c r="I251" s="861"/>
      <c r="J251" s="862"/>
      <c r="K251" s="374"/>
      <c r="L251" s="361" t="s">
        <v>303</v>
      </c>
      <c r="M251" s="856"/>
      <c r="N251" s="688"/>
      <c r="O251" s="122"/>
      <c r="P251" s="122"/>
      <c r="AH251" s="42" t="n">
        <v>0</v>
      </c>
    </row>
    <row r="252" s="42" customFormat="true" ht="18.75" hidden="true" customHeight="true" outlineLevel="0" collapsed="false">
      <c r="A252" s="136"/>
      <c r="B252" s="136"/>
      <c r="C252" s="340" t="s">
        <v>1144</v>
      </c>
      <c r="D252" s="873"/>
      <c r="E252" s="293"/>
      <c r="F252" s="692"/>
      <c r="G252" s="802"/>
      <c r="H252" s="606"/>
      <c r="I252" s="170" t="s">
        <v>1143</v>
      </c>
      <c r="J252" s="214"/>
      <c r="K252" s="606"/>
      <c r="L252" s="732"/>
      <c r="M252" s="856"/>
      <c r="N252" s="688"/>
      <c r="O252" s="122"/>
      <c r="P252" s="122"/>
      <c r="AH252" s="42" t="n">
        <v>0</v>
      </c>
    </row>
    <row r="253" s="42" customFormat="true" ht="0.75" hidden="true" customHeight="true" outlineLevel="0" collapsed="false">
      <c r="A253" s="136"/>
      <c r="B253" s="136"/>
      <c r="C253" s="340" t="s">
        <v>1151</v>
      </c>
      <c r="D253" s="873"/>
      <c r="E253" s="293"/>
      <c r="F253" s="692"/>
      <c r="G253" s="872"/>
      <c r="H253" s="606"/>
      <c r="I253" s="170"/>
      <c r="J253" s="214"/>
      <c r="K253" s="606"/>
      <c r="L253" s="732"/>
      <c r="M253" s="856"/>
      <c r="N253" s="688"/>
      <c r="O253" s="122"/>
      <c r="P253" s="122"/>
      <c r="AH253" s="42" t="n">
        <v>0</v>
      </c>
    </row>
    <row r="254" s="42" customFormat="true" ht="18.75" hidden="true" customHeight="true" outlineLevel="0" collapsed="false">
      <c r="A254" s="136" t="s">
        <v>252</v>
      </c>
      <c r="B254" s="136" t="s">
        <v>253</v>
      </c>
      <c r="C254" s="340"/>
      <c r="D254" s="873"/>
      <c r="E254" s="293"/>
      <c r="F254" s="692" t="str">
        <f aca="false">INDEX(PT_DIFFERENTIATION_VTAR,MATCH(A254,PT_DIFFERENTIATION_VTAR_ID,0))</f>
        <v>Тариф на транспортировку горячей воды</v>
      </c>
      <c r="G254" s="802" t="str">
        <f aca="false">INDEX(PT_DIFFERENTIATION_NTAR,MATCH(B254,PT_DIFFERENTIATION_NTAR_ID,0))</f>
        <v/>
      </c>
      <c r="H254" s="361"/>
      <c r="I254" s="861"/>
      <c r="J254" s="862"/>
      <c r="K254" s="374"/>
      <c r="L254" s="361" t="s">
        <v>303</v>
      </c>
      <c r="M254" s="856"/>
      <c r="N254" s="688"/>
      <c r="O254" s="122"/>
      <c r="P254" s="122"/>
      <c r="AH254" s="42" t="n">
        <v>0</v>
      </c>
    </row>
    <row r="255" s="42" customFormat="true" ht="18.75" hidden="true" customHeight="true" outlineLevel="0" collapsed="false">
      <c r="A255" s="136"/>
      <c r="B255" s="136"/>
      <c r="C255" s="340" t="s">
        <v>1144</v>
      </c>
      <c r="D255" s="873"/>
      <c r="E255" s="293"/>
      <c r="F255" s="692"/>
      <c r="G255" s="802"/>
      <c r="H255" s="606"/>
      <c r="I255" s="170" t="s">
        <v>1143</v>
      </c>
      <c r="J255" s="214"/>
      <c r="K255" s="606"/>
      <c r="L255" s="732"/>
      <c r="M255" s="856"/>
      <c r="N255" s="688"/>
      <c r="O255" s="122"/>
      <c r="P255" s="122"/>
      <c r="AH255" s="42" t="n">
        <v>0</v>
      </c>
    </row>
    <row r="256" s="42" customFormat="true" ht="0.75" hidden="true" customHeight="true" outlineLevel="0" collapsed="false">
      <c r="A256" s="136"/>
      <c r="B256" s="136"/>
      <c r="C256" s="340" t="s">
        <v>1151</v>
      </c>
      <c r="D256" s="873"/>
      <c r="E256" s="293"/>
      <c r="F256" s="692"/>
      <c r="G256" s="872"/>
      <c r="H256" s="606"/>
      <c r="I256" s="170"/>
      <c r="J256" s="214"/>
      <c r="K256" s="606"/>
      <c r="L256" s="732"/>
      <c r="M256" s="856"/>
      <c r="N256" s="688"/>
      <c r="O256" s="122"/>
      <c r="P256" s="122"/>
      <c r="AH256" s="42" t="n">
        <v>0</v>
      </c>
    </row>
    <row r="257" s="42" customFormat="true" ht="18.75" hidden="true" customHeight="true" outlineLevel="0" collapsed="false">
      <c r="A257" s="136" t="s">
        <v>257</v>
      </c>
      <c r="B257" s="136" t="s">
        <v>258</v>
      </c>
      <c r="C257" s="340"/>
      <c r="D257" s="873"/>
      <c r="E257" s="293"/>
      <c r="F257" s="692" t="str">
        <f aca="false">INDEX(PT_DIFFERENTIATION_VTAR,MATCH(A257,PT_DIFFERENTIATION_VTAR_ID,0))</f>
        <v>Тариф на подключение (технологическое присоединение) к централизованной системе горячего водоснабжения</v>
      </c>
      <c r="G257" s="802" t="str">
        <f aca="false">INDEX(PT_DIFFERENTIATION_NTAR,MATCH(B257,PT_DIFFERENTIATION_NTAR_ID,0))</f>
        <v/>
      </c>
      <c r="H257" s="361"/>
      <c r="I257" s="861"/>
      <c r="J257" s="862"/>
      <c r="K257" s="374"/>
      <c r="L257" s="361" t="s">
        <v>303</v>
      </c>
      <c r="M257" s="856"/>
      <c r="N257" s="688"/>
      <c r="O257" s="122"/>
      <c r="P257" s="122"/>
      <c r="AH257" s="42" t="n">
        <v>0</v>
      </c>
    </row>
    <row r="258" s="42" customFormat="true" ht="18.75" hidden="true" customHeight="true" outlineLevel="0" collapsed="false">
      <c r="A258" s="136"/>
      <c r="B258" s="136"/>
      <c r="C258" s="340" t="s">
        <v>1144</v>
      </c>
      <c r="D258" s="873"/>
      <c r="E258" s="293"/>
      <c r="F258" s="692"/>
      <c r="G258" s="802"/>
      <c r="H258" s="606"/>
      <c r="I258" s="170" t="s">
        <v>1143</v>
      </c>
      <c r="J258" s="214"/>
      <c r="K258" s="606"/>
      <c r="L258" s="732"/>
      <c r="M258" s="856"/>
      <c r="N258" s="688"/>
      <c r="O258" s="122"/>
      <c r="P258" s="122"/>
      <c r="AH258" s="42" t="n">
        <v>0</v>
      </c>
    </row>
    <row r="259" s="42" customFormat="true" ht="0.75" hidden="true" customHeight="true" outlineLevel="0" collapsed="false">
      <c r="A259" s="136"/>
      <c r="B259" s="136"/>
      <c r="C259" s="340" t="s">
        <v>1151</v>
      </c>
      <c r="D259" s="873"/>
      <c r="E259" s="293"/>
      <c r="F259" s="692"/>
      <c r="G259" s="872"/>
      <c r="H259" s="606"/>
      <c r="I259" s="170"/>
      <c r="J259" s="214"/>
      <c r="K259" s="606"/>
      <c r="L259" s="732"/>
      <c r="M259" s="856"/>
      <c r="N259" s="688"/>
      <c r="O259" s="122"/>
      <c r="P259" s="122"/>
      <c r="AH259" s="42" t="n">
        <v>0</v>
      </c>
    </row>
    <row r="260" s="42" customFormat="true" ht="18.75" hidden="true" customHeight="true" outlineLevel="0" collapsed="false">
      <c r="A260" s="136" t="s">
        <v>262</v>
      </c>
      <c r="B260" s="136" t="s">
        <v>263</v>
      </c>
      <c r="C260" s="340"/>
      <c r="D260" s="873"/>
      <c r="E260" s="293"/>
      <c r="F260" s="692" t="str">
        <f aca="false">INDEX(PT_DIFFERENTIATION_VTAR,MATCH(A260,PT_DIFFERENTIATION_VTAR_ID,0))</f>
        <v>Тариф на водоотведение</v>
      </c>
      <c r="G260" s="802" t="str">
        <f aca="false">INDEX(PT_DIFFERENTIATION_NTAR,MATCH(B260,PT_DIFFERENTIATION_NTAR_ID,0))</f>
        <v/>
      </c>
      <c r="H260" s="361"/>
      <c r="I260" s="861"/>
      <c r="J260" s="862"/>
      <c r="K260" s="374"/>
      <c r="L260" s="361" t="s">
        <v>303</v>
      </c>
      <c r="M260" s="856"/>
      <c r="N260" s="688"/>
      <c r="O260" s="122"/>
      <c r="P260" s="122"/>
      <c r="AH260" s="42" t="n">
        <v>0</v>
      </c>
    </row>
    <row r="261" s="42" customFormat="true" ht="18.75" hidden="true" customHeight="true" outlineLevel="0" collapsed="false">
      <c r="A261" s="136"/>
      <c r="B261" s="136"/>
      <c r="C261" s="340" t="s">
        <v>1144</v>
      </c>
      <c r="D261" s="873"/>
      <c r="E261" s="293"/>
      <c r="F261" s="692"/>
      <c r="G261" s="802"/>
      <c r="H261" s="606"/>
      <c r="I261" s="170" t="s">
        <v>1143</v>
      </c>
      <c r="J261" s="214"/>
      <c r="K261" s="606"/>
      <c r="L261" s="732"/>
      <c r="M261" s="856"/>
      <c r="N261" s="688"/>
      <c r="O261" s="122"/>
      <c r="P261" s="122"/>
      <c r="AH261" s="42" t="n">
        <v>0</v>
      </c>
    </row>
    <row r="262" s="42" customFormat="true" ht="0.75" hidden="true" customHeight="true" outlineLevel="0" collapsed="false">
      <c r="A262" s="136"/>
      <c r="B262" s="136"/>
      <c r="C262" s="340" t="s">
        <v>1151</v>
      </c>
      <c r="D262" s="873"/>
      <c r="E262" s="293"/>
      <c r="F262" s="692"/>
      <c r="G262" s="872"/>
      <c r="H262" s="606"/>
      <c r="I262" s="170"/>
      <c r="J262" s="214"/>
      <c r="K262" s="606"/>
      <c r="L262" s="732"/>
      <c r="M262" s="856"/>
      <c r="N262" s="688"/>
      <c r="O262" s="122"/>
      <c r="P262" s="122"/>
      <c r="AH262" s="42" t="n">
        <v>0</v>
      </c>
    </row>
    <row r="263" s="42" customFormat="true" ht="18.75" hidden="true" customHeight="true" outlineLevel="0" collapsed="false">
      <c r="A263" s="136" t="s">
        <v>267</v>
      </c>
      <c r="B263" s="136" t="s">
        <v>268</v>
      </c>
      <c r="C263" s="340"/>
      <c r="D263" s="873"/>
      <c r="E263" s="293"/>
      <c r="F263" s="692" t="str">
        <f aca="false">INDEX(PT_DIFFERENTIATION_VTAR,MATCH(A263,PT_DIFFERENTIATION_VTAR_ID,0))</f>
        <v>Тариф на транспортировку сточных вод</v>
      </c>
      <c r="G263" s="802" t="str">
        <f aca="false">INDEX(PT_DIFFERENTIATION_NTAR,MATCH(B263,PT_DIFFERENTIATION_NTAR_ID,0))</f>
        <v/>
      </c>
      <c r="H263" s="361"/>
      <c r="I263" s="861"/>
      <c r="J263" s="862"/>
      <c r="K263" s="374"/>
      <c r="L263" s="361" t="s">
        <v>303</v>
      </c>
      <c r="M263" s="856"/>
      <c r="N263" s="688"/>
      <c r="O263" s="122"/>
      <c r="P263" s="122"/>
      <c r="AH263" s="42" t="n">
        <v>0</v>
      </c>
    </row>
    <row r="264" s="42" customFormat="true" ht="18.75" hidden="true" customHeight="true" outlineLevel="0" collapsed="false">
      <c r="A264" s="136"/>
      <c r="B264" s="136"/>
      <c r="C264" s="340" t="s">
        <v>1144</v>
      </c>
      <c r="D264" s="873"/>
      <c r="E264" s="293"/>
      <c r="F264" s="692"/>
      <c r="G264" s="802"/>
      <c r="H264" s="606"/>
      <c r="I264" s="170" t="s">
        <v>1143</v>
      </c>
      <c r="J264" s="214"/>
      <c r="K264" s="606"/>
      <c r="L264" s="732"/>
      <c r="M264" s="856"/>
      <c r="N264" s="688"/>
      <c r="O264" s="122"/>
      <c r="P264" s="122"/>
      <c r="AH264" s="42" t="n">
        <v>0</v>
      </c>
    </row>
    <row r="265" s="42" customFormat="true" ht="0.75" hidden="true" customHeight="true" outlineLevel="0" collapsed="false">
      <c r="A265" s="136"/>
      <c r="B265" s="136"/>
      <c r="C265" s="340" t="s">
        <v>1151</v>
      </c>
      <c r="D265" s="873"/>
      <c r="E265" s="293"/>
      <c r="F265" s="692"/>
      <c r="G265" s="872"/>
      <c r="H265" s="606"/>
      <c r="I265" s="170"/>
      <c r="J265" s="214"/>
      <c r="K265" s="606"/>
      <c r="L265" s="732"/>
      <c r="M265" s="856"/>
      <c r="N265" s="688"/>
      <c r="O265" s="122"/>
      <c r="P265" s="122"/>
      <c r="AH265" s="42" t="n">
        <v>0</v>
      </c>
    </row>
    <row r="266" s="42" customFormat="true" ht="18.75" hidden="true" customHeight="true" outlineLevel="0" collapsed="false">
      <c r="A266" s="136" t="s">
        <v>272</v>
      </c>
      <c r="B266" s="136" t="s">
        <v>273</v>
      </c>
      <c r="C266" s="340"/>
      <c r="D266" s="873"/>
      <c r="E266" s="293"/>
      <c r="F266" s="692" t="str">
        <f aca="false">INDEX(PT_DIFFERENTIATION_VTAR,MATCH(A266,PT_DIFFERENTIATION_VTAR_ID,0))</f>
        <v>Тариф на подключение (технологическое присоединение) к централизованной системе водоотведения</v>
      </c>
      <c r="G266" s="802" t="str">
        <f aca="false">INDEX(PT_DIFFERENTIATION_NTAR,MATCH(B266,PT_DIFFERENTIATION_NTAR_ID,0))</f>
        <v/>
      </c>
      <c r="H266" s="361"/>
      <c r="I266" s="861"/>
      <c r="J266" s="862"/>
      <c r="K266" s="374"/>
      <c r="L266" s="361" t="s">
        <v>303</v>
      </c>
      <c r="M266" s="856"/>
      <c r="N266" s="688"/>
      <c r="O266" s="122"/>
      <c r="P266" s="122"/>
      <c r="AH266" s="42" t="n">
        <v>0</v>
      </c>
    </row>
    <row r="267" s="42" customFormat="true" ht="18.75" hidden="true" customHeight="true" outlineLevel="0" collapsed="false">
      <c r="A267" s="136"/>
      <c r="B267" s="136"/>
      <c r="C267" s="340" t="s">
        <v>1144</v>
      </c>
      <c r="D267" s="873"/>
      <c r="E267" s="293"/>
      <c r="F267" s="692"/>
      <c r="G267" s="802"/>
      <c r="H267" s="606"/>
      <c r="I267" s="170" t="s">
        <v>1143</v>
      </c>
      <c r="J267" s="214"/>
      <c r="K267" s="606"/>
      <c r="L267" s="732"/>
      <c r="M267" s="856"/>
      <c r="N267" s="688"/>
      <c r="O267" s="122"/>
      <c r="P267" s="122"/>
      <c r="AH267" s="42" t="n">
        <v>0</v>
      </c>
    </row>
    <row r="268" s="42" customFormat="true" ht="0.75" hidden="false" customHeight="true" outlineLevel="0" collapsed="false">
      <c r="A268" s="136"/>
      <c r="B268" s="136"/>
      <c r="C268" s="340" t="s">
        <v>1151</v>
      </c>
      <c r="D268" s="873"/>
      <c r="E268" s="293"/>
      <c r="F268" s="692"/>
      <c r="G268" s="872"/>
      <c r="H268" s="606"/>
      <c r="I268" s="170"/>
      <c r="J268" s="214"/>
      <c r="K268" s="606"/>
      <c r="L268" s="732"/>
      <c r="M268" s="856"/>
      <c r="N268" s="688"/>
      <c r="O268" s="122"/>
      <c r="P268" s="122"/>
      <c r="AH268" s="42" t="n">
        <v>1</v>
      </c>
    </row>
    <row r="269" customFormat="false" ht="27" hidden="false" customHeight="true" outlineLevel="0" collapsed="false">
      <c r="A269" s="136"/>
      <c r="B269" s="136"/>
      <c r="D269" s="470"/>
      <c r="E269" s="293" t="s">
        <v>90</v>
      </c>
      <c r="F269" s="876" t="str">
        <f aca="false">"Размер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76"/>
      <c r="H269" s="876"/>
      <c r="I269" s="876"/>
      <c r="J269" s="876"/>
      <c r="K269" s="876"/>
      <c r="L269" s="876"/>
      <c r="M269" s="726"/>
      <c r="N269" s="688"/>
      <c r="AH269" s="42" t="n">
        <v>26</v>
      </c>
    </row>
    <row r="270" s="42" customFormat="true" ht="60.75" hidden="true" customHeight="true" outlineLevel="0" collapsed="false">
      <c r="A270" s="136" t="s">
        <v>154</v>
      </c>
      <c r="B270" s="136" t="s">
        <v>155</v>
      </c>
      <c r="C270" s="340"/>
      <c r="D270" s="873"/>
      <c r="E270" s="293"/>
      <c r="F270" s="692" t="str">
        <f aca="false">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802" t="str">
        <f aca="false">INDEX(PT_DIFFERENTIATION_NTAR,MATCH(B270,PT_DIFFERENTIATION_NTAR_ID,0))</f>
        <v/>
      </c>
      <c r="H270" s="361"/>
      <c r="I270" s="861"/>
      <c r="J270" s="862"/>
      <c r="K270" s="374"/>
      <c r="L270" s="361" t="s">
        <v>303</v>
      </c>
      <c r="M270" s="84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88"/>
      <c r="O270" s="122"/>
      <c r="P270" s="122"/>
      <c r="AH270" s="42" t="n">
        <v>0</v>
      </c>
    </row>
    <row r="271" s="42" customFormat="true" ht="18.75" hidden="true" customHeight="true" outlineLevel="0" collapsed="false">
      <c r="A271" s="136"/>
      <c r="B271" s="136"/>
      <c r="C271" s="340" t="s">
        <v>1144</v>
      </c>
      <c r="D271" s="873"/>
      <c r="E271" s="293"/>
      <c r="F271" s="692"/>
      <c r="G271" s="802"/>
      <c r="H271" s="606"/>
      <c r="I271" s="170" t="s">
        <v>1143</v>
      </c>
      <c r="J271" s="214"/>
      <c r="K271" s="606"/>
      <c r="L271" s="732"/>
      <c r="M271" s="844"/>
      <c r="N271" s="688"/>
      <c r="O271" s="122"/>
      <c r="P271" s="122"/>
      <c r="AH271" s="42" t="n">
        <v>0</v>
      </c>
    </row>
    <row r="272" s="42" customFormat="true" ht="0.75" hidden="true" customHeight="true" outlineLevel="0" collapsed="false">
      <c r="A272" s="136"/>
      <c r="B272" s="136"/>
      <c r="C272" s="340" t="s">
        <v>1151</v>
      </c>
      <c r="D272" s="873"/>
      <c r="E272" s="293"/>
      <c r="F272" s="692"/>
      <c r="G272" s="872"/>
      <c r="H272" s="606"/>
      <c r="I272" s="170"/>
      <c r="J272" s="214"/>
      <c r="K272" s="606"/>
      <c r="L272" s="732"/>
      <c r="M272" s="844"/>
      <c r="N272" s="688"/>
      <c r="O272" s="122"/>
      <c r="P272" s="122"/>
      <c r="AH272" s="42" t="n">
        <v>0</v>
      </c>
    </row>
    <row r="273" s="42" customFormat="true" ht="45" hidden="true" customHeight="true" outlineLevel="0" collapsed="false">
      <c r="A273" s="136" t="s">
        <v>159</v>
      </c>
      <c r="B273" s="136" t="s">
        <v>160</v>
      </c>
      <c r="C273" s="340"/>
      <c r="D273" s="873"/>
      <c r="E273" s="293"/>
      <c r="F273" s="692" t="str">
        <f aca="false">INDEX(PT_DIFFERENTIATION_VTAR,MATCH(A273,PT_DIFFERENTIATION_VTAR_ID,0))</f>
        <v/>
      </c>
      <c r="G273" s="802" t="str">
        <f aca="false">INDEX(PT_DIFFERENTIATION_NTAR,MATCH(B273,PT_DIFFERENTIATION_NTAR_ID,0))</f>
        <v/>
      </c>
      <c r="H273" s="361"/>
      <c r="I273" s="861"/>
      <c r="J273" s="862"/>
      <c r="K273" s="374"/>
      <c r="L273" s="361" t="s">
        <v>303</v>
      </c>
      <c r="M273" s="844"/>
      <c r="N273" s="688"/>
      <c r="O273" s="122"/>
      <c r="P273" s="122"/>
      <c r="AH273" s="42" t="n">
        <v>0</v>
      </c>
    </row>
    <row r="274" s="42" customFormat="true" ht="18.75" hidden="true" customHeight="true" outlineLevel="0" collapsed="false">
      <c r="A274" s="136"/>
      <c r="B274" s="136"/>
      <c r="C274" s="340" t="s">
        <v>1144</v>
      </c>
      <c r="D274" s="873"/>
      <c r="E274" s="293"/>
      <c r="F274" s="692"/>
      <c r="G274" s="802"/>
      <c r="H274" s="606"/>
      <c r="I274" s="170" t="s">
        <v>1143</v>
      </c>
      <c r="J274" s="214"/>
      <c r="K274" s="606"/>
      <c r="L274" s="732"/>
      <c r="M274" s="878"/>
      <c r="N274" s="688"/>
      <c r="O274" s="122"/>
      <c r="P274" s="122"/>
      <c r="AH274" s="42" t="n">
        <v>0</v>
      </c>
    </row>
    <row r="275" s="42" customFormat="true" ht="0.75" hidden="true" customHeight="true" outlineLevel="0" collapsed="false">
      <c r="A275" s="136"/>
      <c r="B275" s="136"/>
      <c r="C275" s="340" t="s">
        <v>1151</v>
      </c>
      <c r="D275" s="873"/>
      <c r="E275" s="293"/>
      <c r="F275" s="692"/>
      <c r="G275" s="872"/>
      <c r="H275" s="606"/>
      <c r="I275" s="170"/>
      <c r="J275" s="214"/>
      <c r="K275" s="606"/>
      <c r="L275" s="732"/>
      <c r="M275" s="856"/>
      <c r="N275" s="688"/>
      <c r="O275" s="122"/>
      <c r="P275" s="122"/>
      <c r="AH275" s="42" t="n">
        <v>0</v>
      </c>
    </row>
    <row r="276" s="42" customFormat="true" ht="45" hidden="true" customHeight="true" outlineLevel="0" collapsed="false">
      <c r="A276" s="136" t="s">
        <v>166</v>
      </c>
      <c r="B276" s="136" t="s">
        <v>167</v>
      </c>
      <c r="C276" s="340"/>
      <c r="D276" s="873"/>
      <c r="E276" s="293"/>
      <c r="F276" s="692" t="str">
        <f aca="false">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802" t="str">
        <f aca="false">INDEX(PT_DIFFERENTIATION_NTAR,MATCH(B276,PT_DIFFERENTIATION_NTAR_ID,0))</f>
        <v/>
      </c>
      <c r="H276" s="361"/>
      <c r="I276" s="861"/>
      <c r="J276" s="862"/>
      <c r="K276" s="374"/>
      <c r="L276" s="361" t="s">
        <v>303</v>
      </c>
      <c r="M276" s="856"/>
      <c r="N276" s="688"/>
      <c r="O276" s="122"/>
      <c r="P276" s="122"/>
      <c r="AH276" s="42" t="n">
        <v>0</v>
      </c>
    </row>
    <row r="277" s="42" customFormat="true" ht="18.75" hidden="true" customHeight="true" outlineLevel="0" collapsed="false">
      <c r="A277" s="136"/>
      <c r="B277" s="136"/>
      <c r="C277" s="340" t="s">
        <v>1144</v>
      </c>
      <c r="D277" s="873"/>
      <c r="E277" s="293"/>
      <c r="F277" s="692"/>
      <c r="G277" s="802"/>
      <c r="H277" s="606"/>
      <c r="I277" s="170" t="s">
        <v>1143</v>
      </c>
      <c r="J277" s="214"/>
      <c r="K277" s="606"/>
      <c r="L277" s="732"/>
      <c r="M277" s="856"/>
      <c r="N277" s="688"/>
      <c r="O277" s="122"/>
      <c r="P277" s="122"/>
      <c r="AH277" s="42" t="n">
        <v>0</v>
      </c>
    </row>
    <row r="278" s="42" customFormat="true" ht="0.75" hidden="true" customHeight="true" outlineLevel="0" collapsed="false">
      <c r="A278" s="136"/>
      <c r="B278" s="136"/>
      <c r="C278" s="340" t="s">
        <v>1151</v>
      </c>
      <c r="D278" s="873"/>
      <c r="E278" s="293"/>
      <c r="F278" s="692"/>
      <c r="G278" s="872"/>
      <c r="H278" s="606"/>
      <c r="I278" s="170"/>
      <c r="J278" s="214"/>
      <c r="K278" s="606"/>
      <c r="L278" s="732"/>
      <c r="M278" s="856"/>
      <c r="N278" s="688"/>
      <c r="O278" s="122"/>
      <c r="P278" s="122"/>
      <c r="AH278" s="42" t="n">
        <v>0</v>
      </c>
    </row>
    <row r="279" s="42" customFormat="true" ht="45" hidden="true" customHeight="true" outlineLevel="0" collapsed="false">
      <c r="A279" s="136" t="s">
        <v>172</v>
      </c>
      <c r="B279" s="136" t="s">
        <v>173</v>
      </c>
      <c r="C279" s="340"/>
      <c r="D279" s="873"/>
      <c r="E279" s="293"/>
      <c r="F279" s="692" t="str">
        <f aca="false">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802" t="str">
        <f aca="false">INDEX(PT_DIFFERENTIATION_NTAR,MATCH(B279,PT_DIFFERENTIATION_NTAR_ID,0))</f>
        <v/>
      </c>
      <c r="H279" s="361"/>
      <c r="I279" s="861"/>
      <c r="J279" s="862"/>
      <c r="K279" s="374"/>
      <c r="L279" s="361" t="s">
        <v>303</v>
      </c>
      <c r="M279" s="856"/>
      <c r="N279" s="688"/>
      <c r="O279" s="122"/>
      <c r="P279" s="122"/>
      <c r="AH279" s="42" t="n">
        <v>0</v>
      </c>
    </row>
    <row r="280" s="42" customFormat="true" ht="18.75" hidden="true" customHeight="true" outlineLevel="0" collapsed="false">
      <c r="A280" s="136"/>
      <c r="B280" s="136"/>
      <c r="C280" s="340" t="s">
        <v>1144</v>
      </c>
      <c r="D280" s="873"/>
      <c r="E280" s="293"/>
      <c r="F280" s="692"/>
      <c r="G280" s="802"/>
      <c r="H280" s="606"/>
      <c r="I280" s="170" t="s">
        <v>1143</v>
      </c>
      <c r="J280" s="214"/>
      <c r="K280" s="606"/>
      <c r="L280" s="732"/>
      <c r="M280" s="856"/>
      <c r="N280" s="688"/>
      <c r="O280" s="122"/>
      <c r="P280" s="122"/>
      <c r="AH280" s="42" t="n">
        <v>0</v>
      </c>
    </row>
    <row r="281" s="42" customFormat="true" ht="0.75" hidden="true" customHeight="true" outlineLevel="0" collapsed="false">
      <c r="A281" s="136"/>
      <c r="B281" s="136"/>
      <c r="C281" s="340" t="s">
        <v>1151</v>
      </c>
      <c r="D281" s="873"/>
      <c r="E281" s="293"/>
      <c r="F281" s="692"/>
      <c r="G281" s="872"/>
      <c r="H281" s="606"/>
      <c r="I281" s="170"/>
      <c r="J281" s="214"/>
      <c r="K281" s="606"/>
      <c r="L281" s="732"/>
      <c r="M281" s="856"/>
      <c r="N281" s="688"/>
      <c r="O281" s="122"/>
      <c r="P281" s="122"/>
      <c r="AH281" s="42" t="n">
        <v>0</v>
      </c>
    </row>
    <row r="282" s="42" customFormat="true" ht="18.75" hidden="true" customHeight="true" outlineLevel="0" collapsed="false">
      <c r="A282" s="136" t="s">
        <v>178</v>
      </c>
      <c r="B282" s="136" t="s">
        <v>179</v>
      </c>
      <c r="C282" s="340"/>
      <c r="D282" s="873"/>
      <c r="E282" s="293"/>
      <c r="F282" s="692" t="str">
        <f aca="false">INDEX(PT_DIFFERENTIATION_VTAR,MATCH(A282,PT_DIFFERENTIATION_VTAR_ID,0))</f>
        <v>Тарифы на услуги по передаче тепловой энергии</v>
      </c>
      <c r="G282" s="802" t="str">
        <f aca="false">INDEX(PT_DIFFERENTIATION_NTAR,MATCH(B282,PT_DIFFERENTIATION_NTAR_ID,0))</f>
        <v/>
      </c>
      <c r="H282" s="361"/>
      <c r="I282" s="861"/>
      <c r="J282" s="862"/>
      <c r="K282" s="374"/>
      <c r="L282" s="361" t="s">
        <v>303</v>
      </c>
      <c r="M282" s="856"/>
      <c r="N282" s="688"/>
      <c r="O282" s="122"/>
      <c r="P282" s="122"/>
      <c r="AH282" s="42" t="n">
        <v>0</v>
      </c>
    </row>
    <row r="283" s="42" customFormat="true" ht="18.75" hidden="true" customHeight="true" outlineLevel="0" collapsed="false">
      <c r="A283" s="136"/>
      <c r="B283" s="136"/>
      <c r="C283" s="340" t="s">
        <v>1144</v>
      </c>
      <c r="D283" s="873"/>
      <c r="E283" s="293"/>
      <c r="F283" s="692"/>
      <c r="G283" s="802"/>
      <c r="H283" s="606"/>
      <c r="I283" s="170" t="s">
        <v>1143</v>
      </c>
      <c r="J283" s="214"/>
      <c r="K283" s="606"/>
      <c r="L283" s="732"/>
      <c r="M283" s="856"/>
      <c r="N283" s="688"/>
      <c r="O283" s="122"/>
      <c r="P283" s="122"/>
      <c r="AH283" s="42" t="n">
        <v>0</v>
      </c>
    </row>
    <row r="284" s="42" customFormat="true" ht="0.75" hidden="true" customHeight="true" outlineLevel="0" collapsed="false">
      <c r="A284" s="136"/>
      <c r="B284" s="136"/>
      <c r="C284" s="340" t="s">
        <v>1151</v>
      </c>
      <c r="D284" s="873"/>
      <c r="E284" s="293"/>
      <c r="F284" s="692"/>
      <c r="G284" s="872"/>
      <c r="H284" s="606"/>
      <c r="I284" s="170"/>
      <c r="J284" s="214"/>
      <c r="K284" s="606"/>
      <c r="L284" s="732"/>
      <c r="M284" s="856"/>
      <c r="N284" s="688"/>
      <c r="O284" s="122"/>
      <c r="P284" s="122"/>
      <c r="AH284" s="42" t="n">
        <v>0</v>
      </c>
    </row>
    <row r="285" s="42" customFormat="true" ht="18.75" hidden="true" customHeight="true" outlineLevel="0" collapsed="false">
      <c r="A285" s="136" t="s">
        <v>184</v>
      </c>
      <c r="B285" s="136" t="s">
        <v>185</v>
      </c>
      <c r="C285" s="340"/>
      <c r="D285" s="873"/>
      <c r="E285" s="293"/>
      <c r="F285" s="692" t="str">
        <f aca="false">INDEX(PT_DIFFERENTIATION_VTAR,MATCH(A285,PT_DIFFERENTIATION_VTAR_ID,0))</f>
        <v>Тарифы на услуги по передаче теплоносителя</v>
      </c>
      <c r="G285" s="802" t="str">
        <f aca="false">INDEX(PT_DIFFERENTIATION_NTAR,MATCH(B285,PT_DIFFERENTIATION_NTAR_ID,0))</f>
        <v/>
      </c>
      <c r="H285" s="361"/>
      <c r="I285" s="861"/>
      <c r="J285" s="862"/>
      <c r="K285" s="374"/>
      <c r="L285" s="361" t="s">
        <v>303</v>
      </c>
      <c r="M285" s="856"/>
      <c r="N285" s="688"/>
      <c r="O285" s="122"/>
      <c r="P285" s="122"/>
      <c r="AH285" s="42" t="n">
        <v>0</v>
      </c>
    </row>
    <row r="286" s="42" customFormat="true" ht="18.75" hidden="true" customHeight="true" outlineLevel="0" collapsed="false">
      <c r="A286" s="136"/>
      <c r="B286" s="136"/>
      <c r="C286" s="340" t="s">
        <v>1144</v>
      </c>
      <c r="D286" s="873"/>
      <c r="E286" s="293"/>
      <c r="F286" s="692"/>
      <c r="G286" s="802"/>
      <c r="H286" s="606"/>
      <c r="I286" s="170" t="s">
        <v>1143</v>
      </c>
      <c r="J286" s="214"/>
      <c r="K286" s="606"/>
      <c r="L286" s="732"/>
      <c r="M286" s="856"/>
      <c r="N286" s="688"/>
      <c r="O286" s="122"/>
      <c r="P286" s="122"/>
      <c r="AH286" s="42" t="n">
        <v>0</v>
      </c>
    </row>
    <row r="287" s="42" customFormat="true" ht="0.75" hidden="true" customHeight="true" outlineLevel="0" collapsed="false">
      <c r="A287" s="136"/>
      <c r="B287" s="136"/>
      <c r="C287" s="340" t="s">
        <v>1151</v>
      </c>
      <c r="D287" s="873"/>
      <c r="E287" s="293"/>
      <c r="F287" s="692"/>
      <c r="G287" s="872"/>
      <c r="H287" s="606"/>
      <c r="I287" s="170"/>
      <c r="J287" s="214"/>
      <c r="K287" s="606"/>
      <c r="L287" s="732"/>
      <c r="M287" s="856"/>
      <c r="N287" s="688"/>
      <c r="O287" s="122"/>
      <c r="P287" s="122"/>
      <c r="AH287" s="42" t="n">
        <v>0</v>
      </c>
    </row>
    <row r="288" s="42" customFormat="true" ht="18.75" hidden="true" customHeight="true" outlineLevel="0" collapsed="false">
      <c r="A288" s="136" t="s">
        <v>190</v>
      </c>
      <c r="B288" s="136" t="s">
        <v>191</v>
      </c>
      <c r="C288" s="340"/>
      <c r="D288" s="873"/>
      <c r="E288" s="293"/>
      <c r="F288" s="692" t="str">
        <f aca="false">INDEX(PT_DIFFERENTIATION_VTAR,MATCH(A288,PT_DIFFERENTIATION_VTAR_ID,0))</f>
        <v>Плата за услуги по поддержанию резервной тепловой мощности при отсутствии потребления тепловой энергии</v>
      </c>
      <c r="G288" s="802" t="str">
        <f aca="false">INDEX(PT_DIFFERENTIATION_NTAR,MATCH(B288,PT_DIFFERENTIATION_NTAR_ID,0))</f>
        <v/>
      </c>
      <c r="H288" s="361"/>
      <c r="I288" s="861"/>
      <c r="J288" s="862"/>
      <c r="K288" s="374"/>
      <c r="L288" s="361" t="s">
        <v>303</v>
      </c>
      <c r="M288" s="856"/>
      <c r="N288" s="688"/>
      <c r="O288" s="122"/>
      <c r="P288" s="122"/>
      <c r="AH288" s="42" t="n">
        <v>0</v>
      </c>
    </row>
    <row r="289" s="42" customFormat="true" ht="18.75" hidden="true" customHeight="true" outlineLevel="0" collapsed="false">
      <c r="A289" s="136"/>
      <c r="B289" s="136"/>
      <c r="C289" s="340" t="s">
        <v>1144</v>
      </c>
      <c r="D289" s="873"/>
      <c r="E289" s="293"/>
      <c r="F289" s="692"/>
      <c r="G289" s="802"/>
      <c r="H289" s="606"/>
      <c r="I289" s="170" t="s">
        <v>1143</v>
      </c>
      <c r="J289" s="214"/>
      <c r="K289" s="606"/>
      <c r="L289" s="732"/>
      <c r="M289" s="856"/>
      <c r="N289" s="688"/>
      <c r="O289" s="122"/>
      <c r="P289" s="122"/>
      <c r="AH289" s="42" t="n">
        <v>0</v>
      </c>
    </row>
    <row r="290" s="42" customFormat="true" ht="0.75" hidden="true" customHeight="true" outlineLevel="0" collapsed="false">
      <c r="A290" s="136"/>
      <c r="B290" s="136"/>
      <c r="C290" s="340" t="s">
        <v>1151</v>
      </c>
      <c r="D290" s="873"/>
      <c r="E290" s="293"/>
      <c r="F290" s="692"/>
      <c r="G290" s="872"/>
      <c r="H290" s="606"/>
      <c r="I290" s="170"/>
      <c r="J290" s="214"/>
      <c r="K290" s="606"/>
      <c r="L290" s="732"/>
      <c r="M290" s="856"/>
      <c r="N290" s="688"/>
      <c r="O290" s="122"/>
      <c r="P290" s="122"/>
      <c r="AH290" s="42" t="n">
        <v>0</v>
      </c>
    </row>
    <row r="291" s="42" customFormat="true" ht="18.75" hidden="true" customHeight="true" outlineLevel="0" collapsed="false">
      <c r="A291" s="136" t="s">
        <v>196</v>
      </c>
      <c r="B291" s="136" t="s">
        <v>197</v>
      </c>
      <c r="C291" s="340"/>
      <c r="D291" s="873"/>
      <c r="E291" s="293"/>
      <c r="F291" s="692" t="str">
        <f aca="false">INDEX(PT_DIFFERENTIATION_VTAR,MATCH(A291,PT_DIFFERENTIATION_VTAR_ID,0))</f>
        <v>Плата за подключение (технологическое присоединение) к системе теплоснабжения</v>
      </c>
      <c r="G291" s="802" t="str">
        <f aca="false">INDEX(PT_DIFFERENTIATION_NTAR,MATCH(B291,PT_DIFFERENTIATION_NTAR_ID,0))</f>
        <v/>
      </c>
      <c r="H291" s="361"/>
      <c r="I291" s="861"/>
      <c r="J291" s="862"/>
      <c r="K291" s="374"/>
      <c r="L291" s="361" t="s">
        <v>303</v>
      </c>
      <c r="M291" s="856"/>
      <c r="N291" s="688"/>
      <c r="O291" s="122"/>
      <c r="P291" s="122"/>
      <c r="AH291" s="42" t="n">
        <v>0</v>
      </c>
    </row>
    <row r="292" s="42" customFormat="true" ht="18.75" hidden="true" customHeight="true" outlineLevel="0" collapsed="false">
      <c r="A292" s="136"/>
      <c r="B292" s="136"/>
      <c r="C292" s="340" t="s">
        <v>1144</v>
      </c>
      <c r="D292" s="873"/>
      <c r="E292" s="293"/>
      <c r="F292" s="692"/>
      <c r="G292" s="802"/>
      <c r="H292" s="606"/>
      <c r="I292" s="170" t="s">
        <v>1143</v>
      </c>
      <c r="J292" s="214"/>
      <c r="K292" s="606"/>
      <c r="L292" s="732"/>
      <c r="M292" s="856"/>
      <c r="N292" s="688"/>
      <c r="O292" s="122"/>
      <c r="P292" s="122"/>
      <c r="AH292" s="42" t="n">
        <v>0</v>
      </c>
    </row>
    <row r="293" s="42" customFormat="true" ht="0.75" hidden="true" customHeight="true" outlineLevel="0" collapsed="false">
      <c r="A293" s="136"/>
      <c r="B293" s="136"/>
      <c r="C293" s="340" t="s">
        <v>1151</v>
      </c>
      <c r="D293" s="873"/>
      <c r="E293" s="293"/>
      <c r="F293" s="692"/>
      <c r="G293" s="872"/>
      <c r="H293" s="606"/>
      <c r="I293" s="170"/>
      <c r="J293" s="214"/>
      <c r="K293" s="606"/>
      <c r="L293" s="732"/>
      <c r="M293" s="856"/>
      <c r="N293" s="688"/>
      <c r="O293" s="122"/>
      <c r="P293" s="122"/>
      <c r="AH293" s="42" t="n">
        <v>0</v>
      </c>
    </row>
    <row r="294" s="42" customFormat="true" ht="18.75" hidden="true" customHeight="true" outlineLevel="0" collapsed="false">
      <c r="A294" s="136" t="s">
        <v>202</v>
      </c>
      <c r="B294" s="136" t="s">
        <v>203</v>
      </c>
      <c r="C294" s="340"/>
      <c r="D294" s="873"/>
      <c r="E294" s="293"/>
      <c r="F294" s="692" t="str">
        <f aca="false">INDEX(PT_DIFFERENTIATION_VTAR,MATCH(A294,PT_DIFFERENTIATION_VTAR_ID,0))</f>
        <v>Плата за подключение (технологическое присоединение) к системе теплоснабжения (индивидуальная)</v>
      </c>
      <c r="G294" s="802" t="str">
        <f aca="false">INDEX(PT_DIFFERENTIATION_NTAR,MATCH(B294,PT_DIFFERENTIATION_NTAR_ID,0))</f>
        <v/>
      </c>
      <c r="H294" s="361"/>
      <c r="I294" s="861"/>
      <c r="J294" s="862"/>
      <c r="K294" s="374"/>
      <c r="L294" s="361" t="s">
        <v>303</v>
      </c>
      <c r="M294" s="856"/>
      <c r="N294" s="688"/>
      <c r="O294" s="122"/>
      <c r="P294" s="122"/>
      <c r="AH294" s="42" t="n">
        <v>0</v>
      </c>
    </row>
    <row r="295" s="42" customFormat="true" ht="18.75" hidden="true" customHeight="true" outlineLevel="0" collapsed="false">
      <c r="A295" s="136"/>
      <c r="B295" s="136"/>
      <c r="C295" s="340" t="s">
        <v>1144</v>
      </c>
      <c r="D295" s="873"/>
      <c r="E295" s="293"/>
      <c r="F295" s="692"/>
      <c r="G295" s="802"/>
      <c r="H295" s="606"/>
      <c r="I295" s="170" t="s">
        <v>1143</v>
      </c>
      <c r="J295" s="214"/>
      <c r="K295" s="606"/>
      <c r="L295" s="732"/>
      <c r="M295" s="856"/>
      <c r="N295" s="688"/>
      <c r="O295" s="122"/>
      <c r="P295" s="122"/>
      <c r="AH295" s="42" t="n">
        <v>0</v>
      </c>
    </row>
    <row r="296" s="42" customFormat="true" ht="0.75" hidden="true" customHeight="true" outlineLevel="0" collapsed="false">
      <c r="A296" s="136"/>
      <c r="B296" s="136"/>
      <c r="C296" s="340" t="s">
        <v>1151</v>
      </c>
      <c r="D296" s="873"/>
      <c r="E296" s="293"/>
      <c r="F296" s="692"/>
      <c r="G296" s="872"/>
      <c r="H296" s="606"/>
      <c r="I296" s="170"/>
      <c r="J296" s="214"/>
      <c r="K296" s="606"/>
      <c r="L296" s="732"/>
      <c r="M296" s="856"/>
      <c r="N296" s="688"/>
      <c r="O296" s="122"/>
      <c r="P296" s="122"/>
      <c r="AH296" s="42" t="n">
        <v>0</v>
      </c>
    </row>
    <row r="297" s="42" customFormat="true" ht="18.75" hidden="true" customHeight="true" outlineLevel="0" collapsed="false">
      <c r="A297" s="136" t="s">
        <v>222</v>
      </c>
      <c r="B297" s="136" t="s">
        <v>223</v>
      </c>
      <c r="C297" s="340"/>
      <c r="D297" s="873"/>
      <c r="E297" s="293"/>
      <c r="F297" s="692" t="str">
        <f aca="false">INDEX(PT_DIFFERENTIATION_VTAR,MATCH(A297,PT_DIFFERENTIATION_VTAR_ID,0))</f>
        <v>Тариф на питьевую воду (питьевое водоснабжение)</v>
      </c>
      <c r="G297" s="802" t="str">
        <f aca="false">INDEX(PT_DIFFERENTIATION_NTAR,MATCH(B297,PT_DIFFERENTIATION_NTAR_ID,0))</f>
        <v/>
      </c>
      <c r="H297" s="361"/>
      <c r="I297" s="861"/>
      <c r="J297" s="862"/>
      <c r="K297" s="374"/>
      <c r="L297" s="361" t="s">
        <v>303</v>
      </c>
      <c r="M297" s="856"/>
      <c r="N297" s="688"/>
      <c r="O297" s="122"/>
      <c r="P297" s="122"/>
      <c r="AH297" s="42" t="n">
        <v>0</v>
      </c>
    </row>
    <row r="298" s="42" customFormat="true" ht="18.75" hidden="true" customHeight="true" outlineLevel="0" collapsed="false">
      <c r="A298" s="136"/>
      <c r="B298" s="136"/>
      <c r="C298" s="340" t="s">
        <v>1144</v>
      </c>
      <c r="D298" s="873"/>
      <c r="E298" s="293"/>
      <c r="F298" s="692"/>
      <c r="G298" s="802"/>
      <c r="H298" s="606"/>
      <c r="I298" s="170" t="s">
        <v>1143</v>
      </c>
      <c r="J298" s="214"/>
      <c r="K298" s="606"/>
      <c r="L298" s="732"/>
      <c r="M298" s="856"/>
      <c r="N298" s="688"/>
      <c r="O298" s="122"/>
      <c r="P298" s="122"/>
      <c r="AH298" s="42" t="n">
        <v>0</v>
      </c>
    </row>
    <row r="299" s="42" customFormat="true" ht="0.75" hidden="true" customHeight="true" outlineLevel="0" collapsed="false">
      <c r="A299" s="136"/>
      <c r="B299" s="136"/>
      <c r="C299" s="340" t="s">
        <v>1151</v>
      </c>
      <c r="D299" s="873"/>
      <c r="E299" s="293"/>
      <c r="F299" s="692"/>
      <c r="G299" s="872"/>
      <c r="H299" s="606"/>
      <c r="I299" s="170"/>
      <c r="J299" s="214"/>
      <c r="K299" s="606"/>
      <c r="L299" s="732"/>
      <c r="M299" s="856"/>
      <c r="N299" s="688"/>
      <c r="O299" s="122"/>
      <c r="P299" s="122"/>
      <c r="AH299" s="42" t="n">
        <v>0</v>
      </c>
    </row>
    <row r="300" s="42" customFormat="true" ht="18.75" hidden="true" customHeight="true" outlineLevel="0" collapsed="false">
      <c r="A300" s="136" t="s">
        <v>227</v>
      </c>
      <c r="B300" s="136" t="s">
        <v>228</v>
      </c>
      <c r="C300" s="340"/>
      <c r="D300" s="873"/>
      <c r="E300" s="293"/>
      <c r="F300" s="692" t="str">
        <f aca="false">INDEX(PT_DIFFERENTIATION_VTAR,MATCH(A300,PT_DIFFERENTIATION_VTAR_ID,0))</f>
        <v>Тариф на техническую воду</v>
      </c>
      <c r="G300" s="802" t="str">
        <f aca="false">INDEX(PT_DIFFERENTIATION_NTAR,MATCH(B300,PT_DIFFERENTIATION_NTAR_ID,0))</f>
        <v/>
      </c>
      <c r="H300" s="361"/>
      <c r="I300" s="861"/>
      <c r="J300" s="862"/>
      <c r="K300" s="374"/>
      <c r="L300" s="361" t="s">
        <v>303</v>
      </c>
      <c r="M300" s="856"/>
      <c r="N300" s="688"/>
      <c r="O300" s="122"/>
      <c r="P300" s="122"/>
      <c r="AH300" s="42" t="n">
        <v>0</v>
      </c>
    </row>
    <row r="301" s="42" customFormat="true" ht="18.75" hidden="true" customHeight="true" outlineLevel="0" collapsed="false">
      <c r="A301" s="136"/>
      <c r="B301" s="136"/>
      <c r="C301" s="340" t="s">
        <v>1144</v>
      </c>
      <c r="D301" s="873"/>
      <c r="E301" s="293"/>
      <c r="F301" s="692"/>
      <c r="G301" s="802"/>
      <c r="H301" s="606"/>
      <c r="I301" s="170" t="s">
        <v>1143</v>
      </c>
      <c r="J301" s="214"/>
      <c r="K301" s="606"/>
      <c r="L301" s="732"/>
      <c r="M301" s="856"/>
      <c r="N301" s="688"/>
      <c r="O301" s="122"/>
      <c r="P301" s="122"/>
      <c r="AH301" s="42" t="n">
        <v>0</v>
      </c>
    </row>
    <row r="302" s="42" customFormat="true" ht="0.75" hidden="true" customHeight="true" outlineLevel="0" collapsed="false">
      <c r="A302" s="136"/>
      <c r="B302" s="136"/>
      <c r="C302" s="340" t="s">
        <v>1151</v>
      </c>
      <c r="D302" s="873"/>
      <c r="E302" s="293"/>
      <c r="F302" s="692"/>
      <c r="G302" s="872"/>
      <c r="H302" s="606"/>
      <c r="I302" s="170"/>
      <c r="J302" s="214"/>
      <c r="K302" s="606"/>
      <c r="L302" s="732"/>
      <c r="M302" s="856"/>
      <c r="N302" s="688"/>
      <c r="O302" s="122"/>
      <c r="P302" s="122"/>
      <c r="AH302" s="42" t="n">
        <v>0</v>
      </c>
    </row>
    <row r="303" s="42" customFormat="true" ht="18.75" hidden="true" customHeight="true" outlineLevel="0" collapsed="false">
      <c r="A303" s="136" t="s">
        <v>232</v>
      </c>
      <c r="B303" s="136" t="s">
        <v>233</v>
      </c>
      <c r="C303" s="340"/>
      <c r="D303" s="873"/>
      <c r="E303" s="293"/>
      <c r="F303" s="692" t="str">
        <f aca="false">INDEX(PT_DIFFERENTIATION_VTAR,MATCH(A303,PT_DIFFERENTIATION_VTAR_ID,0))</f>
        <v>Тариф на транспортировку воды</v>
      </c>
      <c r="G303" s="802" t="str">
        <f aca="false">INDEX(PT_DIFFERENTIATION_NTAR,MATCH(B303,PT_DIFFERENTIATION_NTAR_ID,0))</f>
        <v/>
      </c>
      <c r="H303" s="361"/>
      <c r="I303" s="861"/>
      <c r="J303" s="862"/>
      <c r="K303" s="374"/>
      <c r="L303" s="361" t="s">
        <v>303</v>
      </c>
      <c r="M303" s="856"/>
      <c r="N303" s="688"/>
      <c r="O303" s="122"/>
      <c r="P303" s="122"/>
      <c r="AH303" s="42" t="n">
        <v>0</v>
      </c>
    </row>
    <row r="304" s="42" customFormat="true" ht="18.75" hidden="true" customHeight="true" outlineLevel="0" collapsed="false">
      <c r="A304" s="136"/>
      <c r="B304" s="136"/>
      <c r="C304" s="340" t="s">
        <v>1144</v>
      </c>
      <c r="D304" s="873"/>
      <c r="E304" s="293"/>
      <c r="F304" s="692"/>
      <c r="G304" s="802"/>
      <c r="H304" s="606"/>
      <c r="I304" s="170" t="s">
        <v>1143</v>
      </c>
      <c r="J304" s="214"/>
      <c r="K304" s="606"/>
      <c r="L304" s="732"/>
      <c r="M304" s="856"/>
      <c r="N304" s="688"/>
      <c r="O304" s="122"/>
      <c r="P304" s="122"/>
      <c r="AH304" s="42" t="n">
        <v>0</v>
      </c>
    </row>
    <row r="305" s="42" customFormat="true" ht="0.75" hidden="true" customHeight="true" outlineLevel="0" collapsed="false">
      <c r="A305" s="136"/>
      <c r="B305" s="136"/>
      <c r="C305" s="340" t="s">
        <v>1151</v>
      </c>
      <c r="D305" s="873"/>
      <c r="E305" s="293"/>
      <c r="F305" s="692"/>
      <c r="G305" s="872"/>
      <c r="H305" s="606"/>
      <c r="I305" s="170"/>
      <c r="J305" s="214"/>
      <c r="K305" s="606"/>
      <c r="L305" s="732"/>
      <c r="M305" s="856"/>
      <c r="N305" s="688"/>
      <c r="O305" s="122"/>
      <c r="P305" s="122"/>
      <c r="AH305" s="42" t="n">
        <v>0</v>
      </c>
    </row>
    <row r="306" s="42" customFormat="true" ht="18.75" hidden="true" customHeight="true" outlineLevel="0" collapsed="false">
      <c r="A306" s="136" t="s">
        <v>237</v>
      </c>
      <c r="B306" s="136" t="s">
        <v>238</v>
      </c>
      <c r="C306" s="340"/>
      <c r="D306" s="873"/>
      <c r="E306" s="293"/>
      <c r="F306" s="692" t="str">
        <f aca="false">INDEX(PT_DIFFERENTIATION_VTAR,MATCH(A306,PT_DIFFERENTIATION_VTAR_ID,0))</f>
        <v>Тариф на подвоз воды</v>
      </c>
      <c r="G306" s="802" t="str">
        <f aca="false">INDEX(PT_DIFFERENTIATION_NTAR,MATCH(B306,PT_DIFFERENTIATION_NTAR_ID,0))</f>
        <v/>
      </c>
      <c r="H306" s="361"/>
      <c r="I306" s="861"/>
      <c r="J306" s="862"/>
      <c r="K306" s="374"/>
      <c r="L306" s="361" t="s">
        <v>303</v>
      </c>
      <c r="M306" s="856"/>
      <c r="N306" s="688"/>
      <c r="O306" s="122"/>
      <c r="P306" s="122"/>
      <c r="AH306" s="42" t="n">
        <v>0</v>
      </c>
    </row>
    <row r="307" s="42" customFormat="true" ht="18.75" hidden="true" customHeight="true" outlineLevel="0" collapsed="false">
      <c r="A307" s="136"/>
      <c r="B307" s="136"/>
      <c r="C307" s="340" t="s">
        <v>1144</v>
      </c>
      <c r="D307" s="873"/>
      <c r="E307" s="293"/>
      <c r="F307" s="692"/>
      <c r="G307" s="802"/>
      <c r="H307" s="606"/>
      <c r="I307" s="170" t="s">
        <v>1143</v>
      </c>
      <c r="J307" s="214"/>
      <c r="K307" s="606"/>
      <c r="L307" s="732"/>
      <c r="M307" s="856"/>
      <c r="N307" s="688"/>
      <c r="O307" s="122"/>
      <c r="P307" s="122"/>
      <c r="AH307" s="42" t="n">
        <v>0</v>
      </c>
    </row>
    <row r="308" s="42" customFormat="true" ht="0.75" hidden="true" customHeight="true" outlineLevel="0" collapsed="false">
      <c r="A308" s="136"/>
      <c r="B308" s="136"/>
      <c r="C308" s="340" t="s">
        <v>1151</v>
      </c>
      <c r="D308" s="873"/>
      <c r="E308" s="293"/>
      <c r="F308" s="692"/>
      <c r="G308" s="872"/>
      <c r="H308" s="606"/>
      <c r="I308" s="170"/>
      <c r="J308" s="214"/>
      <c r="K308" s="606"/>
      <c r="L308" s="732"/>
      <c r="M308" s="856"/>
      <c r="N308" s="688"/>
      <c r="O308" s="122"/>
      <c r="P308" s="122"/>
      <c r="AH308" s="42" t="n">
        <v>0</v>
      </c>
    </row>
    <row r="309" s="42" customFormat="true" ht="18.75" hidden="true" customHeight="true" outlineLevel="0" collapsed="false">
      <c r="A309" s="136" t="s">
        <v>242</v>
      </c>
      <c r="B309" s="136" t="s">
        <v>243</v>
      </c>
      <c r="C309" s="340"/>
      <c r="D309" s="873"/>
      <c r="E309" s="293"/>
      <c r="F309" s="692" t="str">
        <f aca="false">INDEX(PT_DIFFERENTIATION_VTAR,MATCH(A309,PT_DIFFERENTIATION_VTAR_ID,0))</f>
        <v>Тариф на подключение (технологическое присоединение) к централизованной системе холодного водоснабжения</v>
      </c>
      <c r="G309" s="802" t="str">
        <f aca="false">INDEX(PT_DIFFERENTIATION_NTAR,MATCH(B309,PT_DIFFERENTIATION_NTAR_ID,0))</f>
        <v/>
      </c>
      <c r="H309" s="361"/>
      <c r="I309" s="861"/>
      <c r="J309" s="862"/>
      <c r="K309" s="374"/>
      <c r="L309" s="361" t="s">
        <v>303</v>
      </c>
      <c r="M309" s="856"/>
      <c r="N309" s="688"/>
      <c r="O309" s="122"/>
      <c r="P309" s="122"/>
      <c r="AH309" s="42" t="n">
        <v>0</v>
      </c>
    </row>
    <row r="310" s="42" customFormat="true" ht="18.75" hidden="true" customHeight="true" outlineLevel="0" collapsed="false">
      <c r="A310" s="136"/>
      <c r="B310" s="136"/>
      <c r="C310" s="340" t="s">
        <v>1144</v>
      </c>
      <c r="D310" s="873"/>
      <c r="E310" s="293"/>
      <c r="F310" s="692"/>
      <c r="G310" s="802"/>
      <c r="H310" s="606"/>
      <c r="I310" s="170" t="s">
        <v>1143</v>
      </c>
      <c r="J310" s="214"/>
      <c r="K310" s="606"/>
      <c r="L310" s="732"/>
      <c r="M310" s="856"/>
      <c r="N310" s="688"/>
      <c r="O310" s="122"/>
      <c r="P310" s="122"/>
      <c r="AH310" s="42" t="n">
        <v>0</v>
      </c>
    </row>
    <row r="311" s="42" customFormat="true" ht="0.75" hidden="true" customHeight="true" outlineLevel="0" collapsed="false">
      <c r="A311" s="136"/>
      <c r="B311" s="136"/>
      <c r="C311" s="340" t="s">
        <v>1151</v>
      </c>
      <c r="D311" s="873"/>
      <c r="E311" s="293"/>
      <c r="F311" s="692"/>
      <c r="G311" s="872"/>
      <c r="H311" s="606"/>
      <c r="I311" s="170"/>
      <c r="J311" s="214"/>
      <c r="K311" s="606"/>
      <c r="L311" s="732"/>
      <c r="M311" s="856"/>
      <c r="N311" s="688"/>
      <c r="O311" s="122"/>
      <c r="P311" s="122"/>
      <c r="AH311" s="42" t="n">
        <v>0</v>
      </c>
    </row>
    <row r="312" s="42" customFormat="true" ht="18.75" hidden="true" customHeight="true" outlineLevel="0" collapsed="false">
      <c r="A312" s="136" t="s">
        <v>247</v>
      </c>
      <c r="B312" s="136" t="s">
        <v>248</v>
      </c>
      <c r="C312" s="340"/>
      <c r="D312" s="873"/>
      <c r="E312" s="293"/>
      <c r="F312" s="692" t="str">
        <f aca="false">INDEX(PT_DIFFERENTIATION_VTAR,MATCH(A312,PT_DIFFERENTIATION_VTAR_ID,0))</f>
        <v>Тариф на горячую воду (горячее водоснабжение)</v>
      </c>
      <c r="G312" s="802" t="str">
        <f aca="false">INDEX(PT_DIFFERENTIATION_NTAR,MATCH(B312,PT_DIFFERENTIATION_NTAR_ID,0))</f>
        <v/>
      </c>
      <c r="H312" s="361"/>
      <c r="I312" s="861"/>
      <c r="J312" s="862"/>
      <c r="K312" s="374"/>
      <c r="L312" s="361" t="s">
        <v>303</v>
      </c>
      <c r="M312" s="856"/>
      <c r="N312" s="688"/>
      <c r="O312" s="122"/>
      <c r="P312" s="122"/>
      <c r="AH312" s="42" t="n">
        <v>0</v>
      </c>
    </row>
    <row r="313" s="42" customFormat="true" ht="18.75" hidden="true" customHeight="true" outlineLevel="0" collapsed="false">
      <c r="A313" s="136"/>
      <c r="B313" s="136"/>
      <c r="C313" s="340" t="s">
        <v>1144</v>
      </c>
      <c r="D313" s="873"/>
      <c r="E313" s="293"/>
      <c r="F313" s="692"/>
      <c r="G313" s="802"/>
      <c r="H313" s="606"/>
      <c r="I313" s="170" t="s">
        <v>1143</v>
      </c>
      <c r="J313" s="214"/>
      <c r="K313" s="606"/>
      <c r="L313" s="732"/>
      <c r="M313" s="856"/>
      <c r="N313" s="688"/>
      <c r="O313" s="122"/>
      <c r="P313" s="122"/>
      <c r="AH313" s="42" t="n">
        <v>0</v>
      </c>
    </row>
    <row r="314" s="42" customFormat="true" ht="0.75" hidden="true" customHeight="true" outlineLevel="0" collapsed="false">
      <c r="A314" s="136"/>
      <c r="B314" s="136"/>
      <c r="C314" s="340" t="s">
        <v>1151</v>
      </c>
      <c r="D314" s="873"/>
      <c r="E314" s="293"/>
      <c r="F314" s="692"/>
      <c r="G314" s="872"/>
      <c r="H314" s="606"/>
      <c r="I314" s="170"/>
      <c r="J314" s="214"/>
      <c r="K314" s="606"/>
      <c r="L314" s="732"/>
      <c r="M314" s="856"/>
      <c r="N314" s="688"/>
      <c r="O314" s="122"/>
      <c r="P314" s="122"/>
      <c r="AH314" s="42" t="n">
        <v>0</v>
      </c>
    </row>
    <row r="315" s="42" customFormat="true" ht="18.75" hidden="true" customHeight="true" outlineLevel="0" collapsed="false">
      <c r="A315" s="136" t="s">
        <v>252</v>
      </c>
      <c r="B315" s="136" t="s">
        <v>253</v>
      </c>
      <c r="C315" s="340"/>
      <c r="D315" s="873"/>
      <c r="E315" s="293"/>
      <c r="F315" s="692" t="str">
        <f aca="false">INDEX(PT_DIFFERENTIATION_VTAR,MATCH(A315,PT_DIFFERENTIATION_VTAR_ID,0))</f>
        <v>Тариф на транспортировку горячей воды</v>
      </c>
      <c r="G315" s="802" t="str">
        <f aca="false">INDEX(PT_DIFFERENTIATION_NTAR,MATCH(B315,PT_DIFFERENTIATION_NTAR_ID,0))</f>
        <v/>
      </c>
      <c r="H315" s="361"/>
      <c r="I315" s="861"/>
      <c r="J315" s="862"/>
      <c r="K315" s="374"/>
      <c r="L315" s="361" t="s">
        <v>303</v>
      </c>
      <c r="M315" s="856"/>
      <c r="N315" s="688"/>
      <c r="O315" s="122"/>
      <c r="P315" s="122"/>
      <c r="AH315" s="42" t="n">
        <v>0</v>
      </c>
    </row>
    <row r="316" s="42" customFormat="true" ht="18.75" hidden="true" customHeight="true" outlineLevel="0" collapsed="false">
      <c r="A316" s="136"/>
      <c r="B316" s="136"/>
      <c r="C316" s="340" t="s">
        <v>1144</v>
      </c>
      <c r="D316" s="873"/>
      <c r="E316" s="293"/>
      <c r="F316" s="692"/>
      <c r="G316" s="802"/>
      <c r="H316" s="606"/>
      <c r="I316" s="170" t="s">
        <v>1143</v>
      </c>
      <c r="J316" s="214"/>
      <c r="K316" s="606"/>
      <c r="L316" s="732"/>
      <c r="M316" s="856"/>
      <c r="N316" s="688"/>
      <c r="O316" s="122"/>
      <c r="P316" s="122"/>
      <c r="AH316" s="42" t="n">
        <v>0</v>
      </c>
    </row>
    <row r="317" s="42" customFormat="true" ht="0.75" hidden="true" customHeight="true" outlineLevel="0" collapsed="false">
      <c r="A317" s="136"/>
      <c r="B317" s="136"/>
      <c r="C317" s="340" t="s">
        <v>1151</v>
      </c>
      <c r="D317" s="873"/>
      <c r="E317" s="293"/>
      <c r="F317" s="692"/>
      <c r="G317" s="872"/>
      <c r="H317" s="606"/>
      <c r="I317" s="170"/>
      <c r="J317" s="214"/>
      <c r="K317" s="606"/>
      <c r="L317" s="732"/>
      <c r="M317" s="856"/>
      <c r="N317" s="688"/>
      <c r="O317" s="122"/>
      <c r="P317" s="122"/>
      <c r="AH317" s="42" t="n">
        <v>0</v>
      </c>
    </row>
    <row r="318" s="42" customFormat="true" ht="18.75" hidden="true" customHeight="true" outlineLevel="0" collapsed="false">
      <c r="A318" s="136" t="s">
        <v>257</v>
      </c>
      <c r="B318" s="136" t="s">
        <v>258</v>
      </c>
      <c r="C318" s="340"/>
      <c r="D318" s="873"/>
      <c r="E318" s="293"/>
      <c r="F318" s="692" t="str">
        <f aca="false">INDEX(PT_DIFFERENTIATION_VTAR,MATCH(A318,PT_DIFFERENTIATION_VTAR_ID,0))</f>
        <v>Тариф на подключение (технологическое присоединение) к централизованной системе горячего водоснабжения</v>
      </c>
      <c r="G318" s="802" t="str">
        <f aca="false">INDEX(PT_DIFFERENTIATION_NTAR,MATCH(B318,PT_DIFFERENTIATION_NTAR_ID,0))</f>
        <v/>
      </c>
      <c r="H318" s="361"/>
      <c r="I318" s="861"/>
      <c r="J318" s="862"/>
      <c r="K318" s="374"/>
      <c r="L318" s="361" t="s">
        <v>303</v>
      </c>
      <c r="M318" s="856"/>
      <c r="N318" s="688"/>
      <c r="O318" s="122"/>
      <c r="P318" s="122"/>
      <c r="AH318" s="42" t="n">
        <v>0</v>
      </c>
    </row>
    <row r="319" s="42" customFormat="true" ht="18.75" hidden="true" customHeight="true" outlineLevel="0" collapsed="false">
      <c r="A319" s="136"/>
      <c r="B319" s="136"/>
      <c r="C319" s="340" t="s">
        <v>1144</v>
      </c>
      <c r="D319" s="873"/>
      <c r="E319" s="293"/>
      <c r="F319" s="692"/>
      <c r="G319" s="802"/>
      <c r="H319" s="606"/>
      <c r="I319" s="170" t="s">
        <v>1143</v>
      </c>
      <c r="J319" s="214"/>
      <c r="K319" s="606"/>
      <c r="L319" s="732"/>
      <c r="M319" s="856"/>
      <c r="N319" s="688"/>
      <c r="O319" s="122"/>
      <c r="P319" s="122"/>
      <c r="AH319" s="42" t="n">
        <v>0</v>
      </c>
    </row>
    <row r="320" s="42" customFormat="true" ht="0.75" hidden="true" customHeight="true" outlineLevel="0" collapsed="false">
      <c r="A320" s="136"/>
      <c r="B320" s="136"/>
      <c r="C320" s="340" t="s">
        <v>1151</v>
      </c>
      <c r="D320" s="873"/>
      <c r="E320" s="293"/>
      <c r="F320" s="692"/>
      <c r="G320" s="872"/>
      <c r="H320" s="606"/>
      <c r="I320" s="170"/>
      <c r="J320" s="214"/>
      <c r="K320" s="606"/>
      <c r="L320" s="732"/>
      <c r="M320" s="856"/>
      <c r="N320" s="688"/>
      <c r="O320" s="122"/>
      <c r="P320" s="122"/>
      <c r="AH320" s="42" t="n">
        <v>0</v>
      </c>
    </row>
    <row r="321" s="42" customFormat="true" ht="18.75" hidden="true" customHeight="true" outlineLevel="0" collapsed="false">
      <c r="A321" s="136" t="s">
        <v>262</v>
      </c>
      <c r="B321" s="136" t="s">
        <v>263</v>
      </c>
      <c r="C321" s="340"/>
      <c r="D321" s="873"/>
      <c r="E321" s="293"/>
      <c r="F321" s="692" t="str">
        <f aca="false">INDEX(PT_DIFFERENTIATION_VTAR,MATCH(A321,PT_DIFFERENTIATION_VTAR_ID,0))</f>
        <v>Тариф на водоотведение</v>
      </c>
      <c r="G321" s="802" t="str">
        <f aca="false">INDEX(PT_DIFFERENTIATION_NTAR,MATCH(B321,PT_DIFFERENTIATION_NTAR_ID,0))</f>
        <v/>
      </c>
      <c r="H321" s="361"/>
      <c r="I321" s="861"/>
      <c r="J321" s="862"/>
      <c r="K321" s="374"/>
      <c r="L321" s="361" t="s">
        <v>303</v>
      </c>
      <c r="M321" s="856"/>
      <c r="N321" s="688"/>
      <c r="O321" s="122"/>
      <c r="P321" s="122"/>
      <c r="AH321" s="42" t="n">
        <v>0</v>
      </c>
    </row>
    <row r="322" s="42" customFormat="true" ht="18.75" hidden="true" customHeight="true" outlineLevel="0" collapsed="false">
      <c r="A322" s="136"/>
      <c r="B322" s="136"/>
      <c r="C322" s="340" t="s">
        <v>1144</v>
      </c>
      <c r="D322" s="873"/>
      <c r="E322" s="293"/>
      <c r="F322" s="692"/>
      <c r="G322" s="802"/>
      <c r="H322" s="606"/>
      <c r="I322" s="170" t="s">
        <v>1143</v>
      </c>
      <c r="J322" s="214"/>
      <c r="K322" s="606"/>
      <c r="L322" s="732"/>
      <c r="M322" s="856"/>
      <c r="N322" s="688"/>
      <c r="O322" s="122"/>
      <c r="P322" s="122"/>
      <c r="AH322" s="42" t="n">
        <v>0</v>
      </c>
    </row>
    <row r="323" s="42" customFormat="true" ht="0.75" hidden="true" customHeight="true" outlineLevel="0" collapsed="false">
      <c r="A323" s="136"/>
      <c r="B323" s="136"/>
      <c r="C323" s="340" t="s">
        <v>1151</v>
      </c>
      <c r="D323" s="873"/>
      <c r="E323" s="293"/>
      <c r="F323" s="692"/>
      <c r="G323" s="872"/>
      <c r="H323" s="606"/>
      <c r="I323" s="170"/>
      <c r="J323" s="214"/>
      <c r="K323" s="606"/>
      <c r="L323" s="732"/>
      <c r="M323" s="856"/>
      <c r="N323" s="688"/>
      <c r="O323" s="122"/>
      <c r="P323" s="122"/>
      <c r="AH323" s="42" t="n">
        <v>0</v>
      </c>
    </row>
    <row r="324" s="42" customFormat="true" ht="18.75" hidden="true" customHeight="true" outlineLevel="0" collapsed="false">
      <c r="A324" s="136" t="s">
        <v>267</v>
      </c>
      <c r="B324" s="136" t="s">
        <v>268</v>
      </c>
      <c r="C324" s="340"/>
      <c r="D324" s="873"/>
      <c r="E324" s="293"/>
      <c r="F324" s="692" t="str">
        <f aca="false">INDEX(PT_DIFFERENTIATION_VTAR,MATCH(A324,PT_DIFFERENTIATION_VTAR_ID,0))</f>
        <v>Тариф на транспортировку сточных вод</v>
      </c>
      <c r="G324" s="802" t="str">
        <f aca="false">INDEX(PT_DIFFERENTIATION_NTAR,MATCH(B324,PT_DIFFERENTIATION_NTAR_ID,0))</f>
        <v/>
      </c>
      <c r="H324" s="361"/>
      <c r="I324" s="861"/>
      <c r="J324" s="862"/>
      <c r="K324" s="374"/>
      <c r="L324" s="361" t="s">
        <v>303</v>
      </c>
      <c r="M324" s="856"/>
      <c r="N324" s="688"/>
      <c r="O324" s="122"/>
      <c r="P324" s="122"/>
      <c r="AH324" s="42" t="n">
        <v>0</v>
      </c>
    </row>
    <row r="325" s="42" customFormat="true" ht="18.75" hidden="true" customHeight="true" outlineLevel="0" collapsed="false">
      <c r="A325" s="136"/>
      <c r="B325" s="136"/>
      <c r="C325" s="340" t="s">
        <v>1144</v>
      </c>
      <c r="D325" s="873"/>
      <c r="E325" s="293"/>
      <c r="F325" s="692"/>
      <c r="G325" s="802"/>
      <c r="H325" s="606"/>
      <c r="I325" s="170" t="s">
        <v>1143</v>
      </c>
      <c r="J325" s="214"/>
      <c r="K325" s="606"/>
      <c r="L325" s="732"/>
      <c r="M325" s="856"/>
      <c r="N325" s="688"/>
      <c r="O325" s="122"/>
      <c r="P325" s="122"/>
      <c r="AH325" s="42" t="n">
        <v>0</v>
      </c>
    </row>
    <row r="326" s="42" customFormat="true" ht="0.75" hidden="true" customHeight="true" outlineLevel="0" collapsed="false">
      <c r="A326" s="136"/>
      <c r="B326" s="136"/>
      <c r="C326" s="340" t="s">
        <v>1151</v>
      </c>
      <c r="D326" s="873"/>
      <c r="E326" s="293"/>
      <c r="F326" s="692"/>
      <c r="G326" s="872"/>
      <c r="H326" s="606"/>
      <c r="I326" s="170"/>
      <c r="J326" s="214"/>
      <c r="K326" s="606"/>
      <c r="L326" s="732"/>
      <c r="M326" s="856"/>
      <c r="N326" s="688"/>
      <c r="O326" s="122"/>
      <c r="P326" s="122"/>
      <c r="AH326" s="42" t="n">
        <v>0</v>
      </c>
    </row>
    <row r="327" s="42" customFormat="true" ht="18.75" hidden="true" customHeight="true" outlineLevel="0" collapsed="false">
      <c r="A327" s="136" t="s">
        <v>272</v>
      </c>
      <c r="B327" s="136" t="s">
        <v>273</v>
      </c>
      <c r="C327" s="340"/>
      <c r="D327" s="873"/>
      <c r="E327" s="293"/>
      <c r="F327" s="692" t="str">
        <f aca="false">INDEX(PT_DIFFERENTIATION_VTAR,MATCH(A327,PT_DIFFERENTIATION_VTAR_ID,0))</f>
        <v>Тариф на подключение (технологическое присоединение) к централизованной системе водоотведения</v>
      </c>
      <c r="G327" s="802" t="str">
        <f aca="false">INDEX(PT_DIFFERENTIATION_NTAR,MATCH(B327,PT_DIFFERENTIATION_NTAR_ID,0))</f>
        <v/>
      </c>
      <c r="H327" s="361"/>
      <c r="I327" s="861"/>
      <c r="J327" s="862"/>
      <c r="K327" s="374"/>
      <c r="L327" s="361" t="s">
        <v>303</v>
      </c>
      <c r="M327" s="856"/>
      <c r="N327" s="688"/>
      <c r="O327" s="122"/>
      <c r="P327" s="122"/>
      <c r="AH327" s="42" t="n">
        <v>0</v>
      </c>
    </row>
    <row r="328" s="42" customFormat="true" ht="18.75" hidden="true" customHeight="true" outlineLevel="0" collapsed="false">
      <c r="A328" s="136"/>
      <c r="B328" s="136"/>
      <c r="C328" s="340" t="s">
        <v>1144</v>
      </c>
      <c r="D328" s="873"/>
      <c r="E328" s="293"/>
      <c r="F328" s="692"/>
      <c r="G328" s="802"/>
      <c r="H328" s="606"/>
      <c r="I328" s="170" t="s">
        <v>1143</v>
      </c>
      <c r="J328" s="214"/>
      <c r="K328" s="606"/>
      <c r="L328" s="732"/>
      <c r="M328" s="856"/>
      <c r="N328" s="688"/>
      <c r="O328" s="122"/>
      <c r="P328" s="122"/>
      <c r="AH328" s="42" t="n">
        <v>0</v>
      </c>
    </row>
    <row r="329" s="42" customFormat="true" ht="0.75" hidden="false" customHeight="true" outlineLevel="0" collapsed="false">
      <c r="A329" s="136"/>
      <c r="B329" s="136"/>
      <c r="C329" s="340" t="s">
        <v>1151</v>
      </c>
      <c r="D329" s="873"/>
      <c r="E329" s="293"/>
      <c r="F329" s="692"/>
      <c r="G329" s="872"/>
      <c r="H329" s="606"/>
      <c r="I329" s="170"/>
      <c r="J329" s="214"/>
      <c r="K329" s="606"/>
      <c r="L329" s="732"/>
      <c r="M329" s="856"/>
      <c r="N329" s="688"/>
      <c r="O329" s="122"/>
      <c r="P329" s="122"/>
      <c r="AH329" s="42" t="n">
        <v>1</v>
      </c>
    </row>
    <row r="330" s="136" customFormat="true" ht="3" hidden="false" customHeight="true" outlineLevel="0" collapsed="false">
      <c r="E330" s="879"/>
      <c r="F330" s="879"/>
      <c r="G330" s="879"/>
      <c r="H330" s="879"/>
      <c r="I330" s="879"/>
      <c r="J330" s="879"/>
      <c r="K330" s="879"/>
      <c r="L330" s="879"/>
      <c r="M330" s="879"/>
      <c r="O330" s="160"/>
      <c r="P330" s="160"/>
      <c r="AH330" s="136" t="n">
        <v>3</v>
      </c>
    </row>
    <row r="331" customFormat="false" ht="26.25" hidden="false" customHeight="true" outlineLevel="0" collapsed="false">
      <c r="E331" s="880"/>
      <c r="F331" s="495"/>
      <c r="G331" s="495"/>
      <c r="H331" s="495"/>
      <c r="I331" s="495"/>
      <c r="J331" s="495"/>
      <c r="K331" s="495"/>
      <c r="L331" s="495"/>
      <c r="M331" s="495"/>
      <c r="AH331" s="42" t="n">
        <v>25</v>
      </c>
    </row>
    <row r="332" customFormat="false" ht="14.25" hidden="true" customHeight="true" outlineLevel="0" collapsed="false">
      <c r="A332" s="11" t="s">
        <v>80</v>
      </c>
      <c r="B332" s="11" t="n">
        <v>0</v>
      </c>
      <c r="C332" s="340" t="n">
        <v>0</v>
      </c>
      <c r="D332" s="416" t="n">
        <v>3</v>
      </c>
      <c r="E332" s="42" t="n">
        <v>6</v>
      </c>
      <c r="F332" s="42" t="n">
        <v>46</v>
      </c>
      <c r="G332" s="42" t="n">
        <v>35</v>
      </c>
      <c r="H332" s="42" t="n">
        <v>3</v>
      </c>
      <c r="I332" s="42" t="n">
        <v>11</v>
      </c>
      <c r="J332" s="42" t="n">
        <v>11</v>
      </c>
      <c r="K332" s="42" t="n">
        <v>35</v>
      </c>
      <c r="L332" s="42" t="n">
        <v>35</v>
      </c>
      <c r="M332" s="42" t="n">
        <v>84</v>
      </c>
      <c r="N332" s="42" t="n">
        <v>10</v>
      </c>
      <c r="O332" s="122" t="n">
        <v>10</v>
      </c>
      <c r="P332" s="122" t="n">
        <v>10</v>
      </c>
      <c r="Q332" s="42" t="n">
        <v>10</v>
      </c>
      <c r="R332" s="42" t="n">
        <v>10</v>
      </c>
      <c r="S332" s="42" t="n">
        <v>10</v>
      </c>
      <c r="T332" s="42" t="n">
        <v>10</v>
      </c>
      <c r="U332" s="42" t="n">
        <v>10</v>
      </c>
      <c r="V332" s="42" t="n">
        <v>10</v>
      </c>
      <c r="W332" s="42" t="n">
        <v>10</v>
      </c>
      <c r="X332" s="42" t="n">
        <v>10</v>
      </c>
      <c r="Y332" s="42" t="n">
        <v>10</v>
      </c>
      <c r="Z332" s="42" t="n">
        <v>10</v>
      </c>
      <c r="AA332" s="42" t="n">
        <v>10</v>
      </c>
      <c r="AB332" s="42" t="n">
        <v>10</v>
      </c>
      <c r="AC332" s="42" t="n">
        <v>10</v>
      </c>
      <c r="AD332" s="42" t="n">
        <v>10</v>
      </c>
      <c r="AE332" s="42" t="n">
        <v>10</v>
      </c>
      <c r="AF332" s="42" t="n">
        <v>10</v>
      </c>
      <c r="AG332" s="42" t="n">
        <v>10</v>
      </c>
      <c r="AH332" s="42" t="n">
        <v>14</v>
      </c>
    </row>
  </sheetData>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4">
    <dataValidation allowBlank="true" error="Допускается ввод не более 900 символов!" errorStyle="stop" errorTitle="Ошибка" operator="lessThanOrEqual" showDropDown="false" showErrorMessage="true" showInputMessage="true" sqref="M23 M87:M88 M148:M149 M209:M210 M270:M271"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I2:J2 I5:J5 I8:J8 I10:J10 I24:J24 I27:J27 I30:J30 I33:J33 I36:J36 I39:J39 I42:J42 I45:J45 I48:J48 I51:J51 I54:J54 I57:J57 I60:J60 I63:J63 I66:J66 I69:J69 I72:J72 I75:J75 I78:J78 I81:J81 I87:J87 I90:J90 I93:J93 I96:J96 I99:J99 I102:J102 I105:J105 I108:J108 I111:J111 I114:J114 I117:J117 I120:J120 I123:J123 I126:J126 I129:J129 I132:J132 I135:J135 I138:J138 I141:J141 I144:J144 I148:J148 I151:J151 I154:J154 I157:J157 I160:J160 I163:J163 I166:J166 I169:J169 I172:J172 I175:J175 I178:J178 I181:J181 I184:J184 I187:J187 I190:J190 I193:J193 I196:J196 I199:J199 I202:J202 I205:J205 I209:J209 I212:J212 I215:J215 I218:J218 I221:J221 I224:J224 I227:J227 I230:J230 I233:J233 I236:J236 I239:J239 I242:J242 I245:J245 I248:J248 I251:J251 I254:J254 I257:J257 I260:J260 I263:J263 I266:J266 I270:J270 I273:J273 I276:J276 I279:J279 I282:J282 I285:J285 I288:J288 I291:J291 I294:J294 I297:J297 I300:J300 I303:J303 I306:J306 I309:J309 I312:J312 I315:J315 I318:J318 I321:J321 I324:J324 I327:J327"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85"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K5 K10 K87 K90 K93 K96 K99 K102 K105 K108 K111 K114 K117 K120 K123 K126 K129 K132 K135 K138 K141 K144 K148 K151 K154 K157 K160 K163 K166 K169 K172 K175 K178 K181 K184 K187 K190 K193 K196 K199 K202 K205 K209 K212 K215 K218 K221 K224 K227 K230 K233 K236 K239 K242 K245 K248 K251 K254 K257 K260 K263 K266 K270 K273 K276 K279 K282 K285 K288 K291 K294 K297 K300 K303 K306 K309 K312 K315 K318 K321 K324 K327"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R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2" width="9.15"/>
    <col collapsed="false" customWidth="true" hidden="true" outlineLevel="0" max="2" min="2" style="45" width="9.15"/>
    <col collapsed="false" customWidth="true" hidden="false" outlineLevel="0" max="3" min="3" style="416" width="3"/>
    <col collapsed="false" customWidth="true" hidden="false" outlineLevel="0" max="4" min="4" style="42" width="6"/>
    <col collapsed="false" customWidth="true" hidden="false" outlineLevel="0" max="5" min="5" style="42" width="53"/>
    <col collapsed="false" customWidth="true" hidden="false" outlineLevel="0" max="7" min="6" style="42" width="35"/>
    <col collapsed="false" customWidth="true" hidden="false" outlineLevel="0" max="8" min="8" style="42" width="89"/>
    <col collapsed="false" customWidth="true" hidden="false" outlineLevel="0" max="9" min="9" style="42" width="10"/>
    <col collapsed="false" customWidth="true" hidden="false" outlineLevel="0" max="11" min="10" style="122" width="10"/>
    <col collapsed="false" customWidth="true" hidden="false" outlineLevel="0" max="17" min="12" style="42" width="10"/>
    <col collapsed="false" customWidth="false" hidden="true" outlineLevel="0" max="18" min="18" style="42" width="10.57"/>
  </cols>
  <sheetData>
    <row r="1" customFormat="false" ht="22.5" hidden="true" customHeight="true" outlineLevel="0" collapsed="false">
      <c r="N1" s="724"/>
      <c r="O1" s="724"/>
      <c r="Q1" s="724"/>
      <c r="R1" s="42" t="s">
        <v>14</v>
      </c>
    </row>
    <row r="2" s="42" customFormat="true" ht="18.75" hidden="true" customHeight="true" outlineLevel="0" collapsed="false">
      <c r="A2" s="136"/>
      <c r="B2" s="45"/>
      <c r="C2" s="725" t="s">
        <v>686</v>
      </c>
      <c r="D2" s="293"/>
      <c r="E2" s="329"/>
      <c r="F2" s="857"/>
      <c r="G2" s="408"/>
      <c r="I2" s="122"/>
      <c r="J2" s="122"/>
      <c r="R2" s="42" t="n">
        <v>0</v>
      </c>
    </row>
    <row r="3" customFormat="false" ht="14.25" hidden="true" customHeight="true" outlineLevel="0" collapsed="false">
      <c r="R3" s="42" t="n">
        <v>0</v>
      </c>
    </row>
    <row r="4" customFormat="false" ht="6" hidden="false" customHeight="true" outlineLevel="0" collapsed="false">
      <c r="C4" s="470"/>
      <c r="D4" s="83"/>
      <c r="E4" s="83"/>
      <c r="F4" s="83"/>
      <c r="G4" s="727"/>
      <c r="H4" s="727"/>
      <c r="R4" s="42" t="n">
        <v>6</v>
      </c>
    </row>
    <row r="5" customFormat="false" ht="34.5" hidden="false" customHeight="true" outlineLevel="0" collapsed="false">
      <c r="C5" s="470"/>
      <c r="D5" s="389" t="str">
        <f aca="false">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389"/>
      <c r="F5" s="389"/>
      <c r="G5" s="389"/>
      <c r="H5" s="216"/>
      <c r="R5" s="42" t="n">
        <v>33</v>
      </c>
    </row>
    <row r="6" s="42" customFormat="true" ht="18" hidden="false" customHeight="true" outlineLevel="0" collapsed="false">
      <c r="A6" s="52"/>
      <c r="B6" s="45"/>
      <c r="C6" s="470"/>
      <c r="D6" s="259" t="str">
        <f aca="false">IF(org=0,"Не определено",org)</f>
        <v>Филиал ПАО "ОГК-2" - Серовская ГРЭС, г. Серов</v>
      </c>
      <c r="E6" s="259"/>
      <c r="F6" s="259"/>
      <c r="G6" s="259"/>
      <c r="H6" s="216"/>
      <c r="J6" s="122"/>
      <c r="K6" s="122"/>
      <c r="R6" s="42" t="n">
        <v>17</v>
      </c>
    </row>
    <row r="7" customFormat="false" ht="14.25" hidden="false" customHeight="true" outlineLevel="0" collapsed="false">
      <c r="C7" s="470"/>
      <c r="D7" s="83"/>
      <c r="E7" s="74"/>
      <c r="F7" s="74"/>
      <c r="G7" s="290"/>
      <c r="H7" s="728"/>
      <c r="R7" s="42" t="n">
        <v>14</v>
      </c>
    </row>
    <row r="8" customFormat="false" ht="14.25" hidden="false" customHeight="true" outlineLevel="0" collapsed="false">
      <c r="C8" s="470"/>
      <c r="D8" s="395" t="s">
        <v>297</v>
      </c>
      <c r="E8" s="395"/>
      <c r="F8" s="395"/>
      <c r="G8" s="395"/>
      <c r="H8" s="729" t="s">
        <v>298</v>
      </c>
      <c r="R8" s="42" t="n">
        <v>14</v>
      </c>
    </row>
    <row r="9" customFormat="false" ht="24" hidden="false" customHeight="true" outlineLevel="0" collapsed="false">
      <c r="C9" s="470"/>
      <c r="D9" s="395" t="s">
        <v>86</v>
      </c>
      <c r="E9" s="220" t="s">
        <v>299</v>
      </c>
      <c r="F9" s="220" t="s">
        <v>300</v>
      </c>
      <c r="G9" s="220" t="s">
        <v>387</v>
      </c>
      <c r="H9" s="729"/>
      <c r="R9" s="42" t="n">
        <v>23</v>
      </c>
    </row>
    <row r="10" customFormat="false" ht="14.25" hidden="false" customHeight="true" outlineLevel="0" collapsed="false">
      <c r="A10" s="136"/>
      <c r="C10" s="470"/>
      <c r="D10" s="293" t="s">
        <v>107</v>
      </c>
      <c r="E10" s="379" t="str">
        <f aca="false">"Сведения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857"/>
      <c r="G10" s="408"/>
      <c r="H10" s="881" t="s">
        <v>1152</v>
      </c>
      <c r="R10" s="42" t="n">
        <v>14</v>
      </c>
    </row>
    <row r="11" customFormat="false" ht="14.25" hidden="false" customHeight="true" outlineLevel="0" collapsed="false">
      <c r="A11" s="136"/>
      <c r="C11" s="470"/>
      <c r="D11" s="293" t="s">
        <v>108</v>
      </c>
      <c r="E11" s="379" t="str">
        <f aca="false">"Сведения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857"/>
      <c r="G11" s="408"/>
      <c r="H11" s="881"/>
      <c r="R11" s="42" t="n">
        <v>14</v>
      </c>
    </row>
    <row r="12" customFormat="false" ht="14.25" hidden="false" customHeight="true" outlineLevel="0" collapsed="false">
      <c r="A12" s="136"/>
      <c r="C12" s="328"/>
      <c r="D12" s="293" t="s">
        <v>88</v>
      </c>
      <c r="E12" s="730" t="str">
        <f aca="false">"Сведения о планировании закупочных процедур"&amp;IF(TEMPLATE_SPHERE="TKO"," &lt;1&gt;","")</f>
        <v>Сведения о планировании закупочных процедур</v>
      </c>
      <c r="F12" s="857"/>
      <c r="G12" s="408"/>
      <c r="H12" s="882" t="str">
        <f aca="false">"В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2"/>
      <c r="K12" s="42"/>
      <c r="R12" s="42" t="n">
        <v>14</v>
      </c>
    </row>
    <row r="13" customFormat="false" ht="14.25" hidden="false" customHeight="true" outlineLevel="0" collapsed="false">
      <c r="A13" s="136"/>
      <c r="C13" s="328"/>
      <c r="D13" s="293" t="s">
        <v>89</v>
      </c>
      <c r="E13" s="876" t="str">
        <f aca="false">"Сведения о результатах проведения закупочных процедур"&amp;IF(TEMPLATE_SPHERE="TKO"," &lt;1&gt;","")</f>
        <v>Сведения о результатах проведения закупочных процедур</v>
      </c>
      <c r="F13" s="857"/>
      <c r="G13" s="408"/>
      <c r="H13" s="882"/>
      <c r="I13" s="122"/>
      <c r="K13" s="42"/>
      <c r="R13" s="42" t="n">
        <v>14</v>
      </c>
    </row>
    <row r="14" customFormat="false" ht="14.25" hidden="false" customHeight="true" outlineLevel="0" collapsed="false">
      <c r="A14" s="136"/>
      <c r="C14" s="470"/>
      <c r="D14" s="731"/>
      <c r="E14" s="170" t="s">
        <v>319</v>
      </c>
      <c r="F14" s="214"/>
      <c r="G14" s="732"/>
      <c r="H14" s="882"/>
      <c r="R14" s="42" t="n">
        <v>14</v>
      </c>
    </row>
    <row r="15" s="42" customFormat="true" ht="14.25" hidden="false" customHeight="true" outlineLevel="0" collapsed="false">
      <c r="A15" s="136"/>
      <c r="B15" s="45"/>
      <c r="C15" s="470"/>
      <c r="D15" s="681"/>
      <c r="E15" s="733"/>
      <c r="F15" s="734"/>
      <c r="G15" s="735"/>
      <c r="H15" s="883"/>
      <c r="J15" s="122"/>
      <c r="K15" s="122"/>
      <c r="R15" s="42" t="n">
        <v>14</v>
      </c>
    </row>
    <row r="16" customFormat="false" ht="14.25" hidden="false" customHeight="true" outlineLevel="0" collapsed="false">
      <c r="D16" s="414"/>
      <c r="E16" s="495"/>
      <c r="F16" s="495"/>
      <c r="G16" s="495"/>
      <c r="H16" s="495"/>
      <c r="R16" s="42" t="n">
        <v>14</v>
      </c>
    </row>
    <row r="17" customFormat="false" ht="22.5" hidden="true" customHeight="true" outlineLevel="0" collapsed="false">
      <c r="A17" s="52" t="s">
        <v>80</v>
      </c>
      <c r="B17" s="45" t="n">
        <v>0</v>
      </c>
      <c r="C17" s="416" t="n">
        <v>3</v>
      </c>
      <c r="D17" s="42" t="n">
        <v>6</v>
      </c>
      <c r="E17" s="42" t="n">
        <v>53</v>
      </c>
      <c r="F17" s="42" t="n">
        <v>35</v>
      </c>
      <c r="G17" s="42" t="n">
        <v>35</v>
      </c>
      <c r="H17" s="42" t="n">
        <v>89</v>
      </c>
      <c r="I17" s="42" t="n">
        <v>10</v>
      </c>
      <c r="J17" s="122" t="n">
        <v>10</v>
      </c>
      <c r="K17" s="122" t="n">
        <v>10</v>
      </c>
      <c r="L17" s="42" t="n">
        <v>10</v>
      </c>
      <c r="M17" s="42" t="n">
        <v>10</v>
      </c>
      <c r="N17" s="42" t="n">
        <v>10</v>
      </c>
      <c r="O17" s="42" t="n">
        <v>10</v>
      </c>
      <c r="P17" s="42" t="n">
        <v>10</v>
      </c>
      <c r="Q17" s="42" t="n">
        <v>10</v>
      </c>
      <c r="R17" s="42" t="n">
        <v>23</v>
      </c>
    </row>
  </sheetData>
  <mergeCells count="7">
    <mergeCell ref="D5:G5"/>
    <mergeCell ref="D6:G6"/>
    <mergeCell ref="D8:G8"/>
    <mergeCell ref="H8:H9"/>
    <mergeCell ref="H10:H11"/>
    <mergeCell ref="H12:H14"/>
    <mergeCell ref="E16:H16"/>
  </mergeCells>
  <dataValidations count="2">
    <dataValidation allowBlank="true" error="Допускается ввод не более 900 символов!" errorStyle="stop" errorTitle="Ошибка" operator="lessThanOrEqual" showDropDown="false" showErrorMessage="true" showInputMessage="true" sqref="E2:F2 F10:F13 H10 E13"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G2 G10:G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R14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2" min="1" style="122" width="3.71"/>
    <col collapsed="false" customWidth="true" hidden="false" outlineLevel="0" max="3" min="3" style="177" width="3"/>
    <col collapsed="false" customWidth="true" hidden="false" outlineLevel="0" max="4" min="4" style="177" width="6"/>
    <col collapsed="false" customWidth="true" hidden="false" outlineLevel="0" max="5" min="5" style="177" width="42"/>
    <col collapsed="false" customWidth="true" hidden="false" outlineLevel="0" max="6" min="6" style="177" width="15"/>
    <col collapsed="false" customWidth="true" hidden="false" outlineLevel="0" max="7" min="7" style="177" width="42"/>
    <col collapsed="false" customWidth="true" hidden="false" outlineLevel="0" max="8" min="8" style="177" width="3"/>
    <col collapsed="false" customWidth="true" hidden="false" outlineLevel="0" max="9" min="9" style="177" width="5"/>
    <col collapsed="false" customWidth="true" hidden="false" outlineLevel="0" max="10" min="10" style="177" width="47"/>
    <col collapsed="false" customWidth="true" hidden="false" outlineLevel="0" max="12" min="11" style="177" width="3"/>
    <col collapsed="false" customWidth="true" hidden="false" outlineLevel="0" max="13" min="13" style="177" width="5"/>
    <col collapsed="false" customWidth="true" hidden="false" outlineLevel="0" max="14" min="14" style="177" width="28"/>
    <col collapsed="false" customWidth="true" hidden="false" outlineLevel="0" max="16" min="15" style="177" width="3"/>
    <col collapsed="false" customWidth="true" hidden="false" outlineLevel="0" max="17" min="17" style="177" width="5"/>
    <col collapsed="false" customWidth="true" hidden="false" outlineLevel="0" max="18" min="18" style="177" width="34"/>
    <col collapsed="false" customWidth="true" hidden="true" outlineLevel="0" max="20" min="19" style="177" width="3.71"/>
    <col collapsed="false" customWidth="true" hidden="true" outlineLevel="0" max="21" min="21" style="177" width="5.71"/>
    <col collapsed="false" customWidth="true" hidden="true" outlineLevel="0" max="22" min="22" style="177" width="34.42"/>
    <col collapsed="false" customWidth="true" hidden="false" outlineLevel="0" max="23" min="23" style="177" width="30"/>
    <col collapsed="false" customWidth="true" hidden="false" outlineLevel="0" max="24" min="24" style="177" width="3"/>
    <col collapsed="false" customWidth="true" hidden="true" outlineLevel="0" max="28" min="25" style="100" width="9.85"/>
    <col collapsed="false" customWidth="true" hidden="true" outlineLevel="0" max="29" min="29" style="100" width="27"/>
    <col collapsed="false" customWidth="true" hidden="true" outlineLevel="0" max="30" min="30" style="100" width="10.57"/>
    <col collapsed="false" customWidth="true" hidden="true" outlineLevel="0" max="31" min="31" style="100" width="10.71"/>
    <col collapsed="false" customWidth="true" hidden="true" outlineLevel="0" max="32" min="32" style="100" width="10"/>
    <col collapsed="false" customWidth="true" hidden="true" outlineLevel="0" max="33" min="33" style="100" width="12.85"/>
    <col collapsed="false" customWidth="true" hidden="true" outlineLevel="0" max="34" min="34" style="100" width="24.43"/>
    <col collapsed="false" customWidth="true" hidden="true" outlineLevel="0" max="35" min="35" style="100" width="15.85"/>
    <col collapsed="false" customWidth="true" hidden="true" outlineLevel="0" max="36" min="36" style="100" width="19.43"/>
    <col collapsed="false" customWidth="true" hidden="true" outlineLevel="0" max="37" min="37" style="100" width="11"/>
    <col collapsed="false" customWidth="true" hidden="true" outlineLevel="0" max="38" min="38" style="100" width="23.58"/>
    <col collapsed="false" customWidth="true" hidden="true" outlineLevel="0" max="39" min="39" style="100" width="23.85"/>
    <col collapsed="false" customWidth="true" hidden="true" outlineLevel="0" max="40" min="40" style="100" width="25.28"/>
    <col collapsed="false" customWidth="true" hidden="true" outlineLevel="0" max="41" min="41" style="100" width="16.86"/>
    <col collapsed="false" customWidth="true" hidden="true" outlineLevel="0" max="42" min="42" style="100" width="29.57"/>
    <col collapsed="false" customWidth="true" hidden="true" outlineLevel="0" max="43" min="43" style="100" width="29.85"/>
    <col collapsed="false" customWidth="false" hidden="true" outlineLevel="0" max="44" min="44" style="177" width="9.15"/>
  </cols>
  <sheetData>
    <row r="1" customFormat="false" ht="11.25" hidden="true" customHeight="true" outlineLevel="0" collapsed="false">
      <c r="AR1" s="177" t="s">
        <v>14</v>
      </c>
    </row>
    <row r="2" customFormat="false" ht="11.25" hidden="true" customHeight="true" outlineLevel="0" collapsed="false">
      <c r="AR2" s="177" t="n">
        <v>0</v>
      </c>
    </row>
    <row r="3" customFormat="false" ht="11.25" hidden="true" customHeight="true" outlineLevel="0" collapsed="false">
      <c r="AR3" s="177" t="n">
        <v>0</v>
      </c>
    </row>
    <row r="4" customFormat="false" ht="3" hidden="false" customHeight="true" outlineLevel="0" collapsed="false">
      <c r="AR4" s="177" t="n">
        <v>3</v>
      </c>
    </row>
    <row r="5" s="183" customFormat="true" ht="30" hidden="false" customHeight="true" outlineLevel="0" collapsed="false">
      <c r="A5" s="181"/>
      <c r="B5" s="181"/>
      <c r="D5" s="215" t="str">
        <f aca="false">"Перечень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
      <c r="F5" s="215"/>
      <c r="G5" s="215"/>
      <c r="H5" s="215"/>
      <c r="I5" s="215"/>
      <c r="J5" s="215"/>
      <c r="K5" s="216"/>
      <c r="L5" s="217"/>
      <c r="M5" s="217"/>
      <c r="N5" s="217"/>
      <c r="O5" s="217"/>
      <c r="P5" s="217"/>
      <c r="Q5" s="217"/>
      <c r="R5" s="217"/>
      <c r="S5" s="217"/>
      <c r="T5" s="217"/>
      <c r="U5" s="217"/>
      <c r="V5" s="217"/>
      <c r="W5" s="217"/>
      <c r="Y5" s="182"/>
      <c r="Z5" s="182"/>
      <c r="AA5" s="182"/>
      <c r="AB5" s="182"/>
      <c r="AC5" s="182"/>
      <c r="AD5" s="182"/>
      <c r="AE5" s="182"/>
      <c r="AF5" s="182"/>
      <c r="AG5" s="182"/>
      <c r="AH5" s="182"/>
      <c r="AI5" s="182"/>
      <c r="AJ5" s="182"/>
      <c r="AK5" s="182"/>
      <c r="AL5" s="182"/>
      <c r="AM5" s="182"/>
      <c r="AN5" s="182"/>
      <c r="AO5" s="182"/>
      <c r="AP5" s="182"/>
      <c r="AQ5" s="182"/>
      <c r="AR5" s="183" t="n">
        <v>29</v>
      </c>
    </row>
    <row r="6" s="183" customFormat="true" ht="14.25" hidden="false" customHeight="true" outlineLevel="0" collapsed="false">
      <c r="A6" s="100"/>
      <c r="B6" s="100"/>
      <c r="C6" s="100"/>
      <c r="D6" s="179" t="str">
        <f aca="false">IF(org=0,"Не определено",org)</f>
        <v>Филиал ПАО "ОГК-2" - Серовская ГРЭС, г. Серов</v>
      </c>
      <c r="E6" s="179"/>
      <c r="F6" s="179"/>
      <c r="G6" s="179"/>
      <c r="H6" s="179"/>
      <c r="I6" s="179"/>
      <c r="J6" s="179"/>
      <c r="K6" s="180"/>
      <c r="L6" s="180"/>
      <c r="M6" s="180"/>
      <c r="N6" s="180"/>
      <c r="O6" s="181"/>
      <c r="P6" s="181"/>
      <c r="Q6" s="181"/>
      <c r="R6" s="181"/>
      <c r="S6" s="181"/>
      <c r="T6" s="181"/>
      <c r="U6" s="181"/>
      <c r="V6" s="181"/>
      <c r="W6" s="181"/>
      <c r="X6" s="180"/>
      <c r="Y6" s="182"/>
      <c r="Z6" s="182"/>
      <c r="AA6" s="182"/>
      <c r="AB6" s="182"/>
      <c r="AC6" s="182"/>
      <c r="AD6" s="182"/>
      <c r="AE6" s="182"/>
      <c r="AF6" s="182"/>
      <c r="AG6" s="182"/>
      <c r="AH6" s="182"/>
      <c r="AI6" s="182"/>
      <c r="AJ6" s="182"/>
      <c r="AK6" s="182"/>
      <c r="AL6" s="182"/>
      <c r="AM6" s="182"/>
      <c r="AN6" s="182"/>
      <c r="AO6" s="182"/>
      <c r="AP6" s="182"/>
      <c r="AQ6" s="182"/>
      <c r="AR6" s="183" t="n">
        <v>14</v>
      </c>
    </row>
    <row r="7" s="218" customFormat="true" ht="11.25" hidden="false" customHeight="true" outlineLevel="0" collapsed="false">
      <c r="A7" s="122"/>
      <c r="B7" s="122"/>
      <c r="D7" s="219"/>
      <c r="E7" s="219"/>
      <c r="F7" s="219"/>
      <c r="G7" s="219"/>
      <c r="H7" s="219"/>
      <c r="I7" s="219"/>
      <c r="J7" s="219"/>
      <c r="Y7" s="100"/>
      <c r="Z7" s="100"/>
      <c r="AA7" s="100"/>
      <c r="AB7" s="100"/>
      <c r="AC7" s="100"/>
      <c r="AD7" s="100"/>
      <c r="AE7" s="100"/>
      <c r="AF7" s="100"/>
      <c r="AG7" s="100"/>
      <c r="AH7" s="100"/>
      <c r="AI7" s="100"/>
      <c r="AJ7" s="100"/>
      <c r="AK7" s="100"/>
      <c r="AL7" s="100"/>
      <c r="AM7" s="100"/>
      <c r="AN7" s="100"/>
      <c r="AO7" s="100"/>
      <c r="AP7" s="100"/>
      <c r="AQ7" s="100"/>
      <c r="AR7" s="218" t="n">
        <v>11</v>
      </c>
    </row>
    <row r="8" s="183" customFormat="true" ht="0.75" hidden="false" customHeight="true" outlineLevel="0" collapsed="false">
      <c r="A8" s="181"/>
      <c r="B8" s="181"/>
      <c r="D8" s="185"/>
      <c r="E8" s="185"/>
      <c r="F8" s="185"/>
      <c r="G8" s="185"/>
      <c r="H8" s="185"/>
      <c r="I8" s="185"/>
      <c r="J8" s="185"/>
      <c r="K8" s="185"/>
      <c r="L8" s="185"/>
      <c r="M8" s="185"/>
      <c r="N8" s="185"/>
      <c r="O8" s="185"/>
      <c r="P8" s="185"/>
      <c r="Q8" s="185"/>
      <c r="R8" s="185"/>
      <c r="S8" s="185"/>
      <c r="T8" s="185"/>
      <c r="U8" s="185"/>
      <c r="V8" s="185"/>
      <c r="W8" s="185"/>
      <c r="Y8" s="182"/>
      <c r="Z8" s="182"/>
      <c r="AA8" s="182"/>
      <c r="AB8" s="182"/>
      <c r="AC8" s="182"/>
      <c r="AD8" s="182"/>
      <c r="AE8" s="182"/>
      <c r="AF8" s="182"/>
      <c r="AG8" s="182"/>
      <c r="AH8" s="182"/>
      <c r="AI8" s="182"/>
      <c r="AJ8" s="182"/>
      <c r="AK8" s="182"/>
      <c r="AL8" s="182"/>
      <c r="AM8" s="182"/>
      <c r="AN8" s="182"/>
      <c r="AO8" s="182"/>
      <c r="AP8" s="182"/>
      <c r="AQ8" s="182"/>
      <c r="AR8" s="183" t="n">
        <v>1</v>
      </c>
    </row>
    <row r="9" customFormat="false" ht="28.5" hidden="false" customHeight="true" outlineLevel="0" collapsed="false">
      <c r="D9" s="138" t="s">
        <v>86</v>
      </c>
      <c r="E9" s="138" t="s">
        <v>121</v>
      </c>
      <c r="F9" s="138"/>
      <c r="G9" s="138" t="s">
        <v>103</v>
      </c>
      <c r="H9" s="138" t="s">
        <v>86</v>
      </c>
      <c r="I9" s="138"/>
      <c r="J9" s="138" t="s">
        <v>122</v>
      </c>
      <c r="K9" s="220" t="s">
        <v>123</v>
      </c>
      <c r="L9" s="220"/>
      <c r="M9" s="220"/>
      <c r="N9" s="220"/>
      <c r="O9" s="220" t="s">
        <v>124</v>
      </c>
      <c r="P9" s="220"/>
      <c r="Q9" s="220"/>
      <c r="R9" s="220"/>
      <c r="S9" s="220" t="s">
        <v>125</v>
      </c>
      <c r="T9" s="220"/>
      <c r="U9" s="220"/>
      <c r="V9" s="220"/>
      <c r="W9" s="138" t="s">
        <v>126</v>
      </c>
      <c r="AR9" s="177" t="n">
        <v>27</v>
      </c>
    </row>
    <row r="10" customFormat="false" ht="31.5" hidden="false" customHeight="true" outlineLevel="0" collapsed="false">
      <c r="D10" s="138"/>
      <c r="E10" s="150" t="s">
        <v>87</v>
      </c>
      <c r="F10" s="150" t="s">
        <v>127</v>
      </c>
      <c r="G10" s="138"/>
      <c r="H10" s="138"/>
      <c r="I10" s="138"/>
      <c r="J10" s="138"/>
      <c r="K10" s="150" t="s">
        <v>106</v>
      </c>
      <c r="L10" s="138" t="s">
        <v>86</v>
      </c>
      <c r="M10" s="138"/>
      <c r="N10" s="150" t="s">
        <v>128</v>
      </c>
      <c r="O10" s="150" t="s">
        <v>106</v>
      </c>
      <c r="P10" s="138" t="s">
        <v>86</v>
      </c>
      <c r="Q10" s="138"/>
      <c r="R10" s="150" t="s">
        <v>128</v>
      </c>
      <c r="S10" s="150" t="s">
        <v>106</v>
      </c>
      <c r="T10" s="138" t="s">
        <v>86</v>
      </c>
      <c r="U10" s="138"/>
      <c r="V10" s="150" t="s">
        <v>87</v>
      </c>
      <c r="W10" s="138"/>
      <c r="Z10" s="100" t="s">
        <v>129</v>
      </c>
      <c r="AA10" s="100" t="s">
        <v>130</v>
      </c>
      <c r="AB10" s="100" t="s">
        <v>131</v>
      </c>
      <c r="AC10" s="100" t="s">
        <v>132</v>
      </c>
      <c r="AD10" s="100" t="s">
        <v>133</v>
      </c>
      <c r="AE10" s="100" t="s">
        <v>134</v>
      </c>
      <c r="AF10" s="100" t="s">
        <v>135</v>
      </c>
      <c r="AG10" s="100" t="s">
        <v>136</v>
      </c>
      <c r="AH10" s="100" t="s">
        <v>137</v>
      </c>
      <c r="AI10" s="100" t="s">
        <v>138</v>
      </c>
      <c r="AJ10" s="100" t="s">
        <v>139</v>
      </c>
      <c r="AK10" s="100" t="s">
        <v>140</v>
      </c>
      <c r="AL10" s="100" t="s">
        <v>141</v>
      </c>
      <c r="AM10" s="100" t="s">
        <v>142</v>
      </c>
      <c r="AN10" s="100" t="s">
        <v>143</v>
      </c>
      <c r="AO10" s="100" t="s">
        <v>144</v>
      </c>
      <c r="AP10" s="100" t="s">
        <v>145</v>
      </c>
      <c r="AQ10" s="100" t="s">
        <v>146</v>
      </c>
      <c r="AR10" s="177" t="n">
        <v>30</v>
      </c>
    </row>
    <row r="11" s="122" customFormat="true" ht="12" hidden="true" customHeight="true" outlineLevel="0" collapsed="false">
      <c r="D11" s="221" t="s">
        <v>107</v>
      </c>
      <c r="E11" s="221" t="s">
        <v>108</v>
      </c>
      <c r="F11" s="221"/>
      <c r="G11" s="221" t="s">
        <v>88</v>
      </c>
      <c r="H11" s="222" t="s">
        <v>109</v>
      </c>
      <c r="I11" s="222"/>
      <c r="J11" s="221" t="s">
        <v>90</v>
      </c>
      <c r="K11" s="221" t="s">
        <v>91</v>
      </c>
      <c r="L11" s="222" t="s">
        <v>110</v>
      </c>
      <c r="M11" s="222"/>
      <c r="N11" s="221" t="s">
        <v>147</v>
      </c>
      <c r="O11" s="221" t="s">
        <v>148</v>
      </c>
      <c r="P11" s="222" t="s">
        <v>149</v>
      </c>
      <c r="Q11" s="222"/>
      <c r="R11" s="221" t="s">
        <v>150</v>
      </c>
      <c r="S11" s="221" t="s">
        <v>149</v>
      </c>
      <c r="T11" s="222" t="s">
        <v>150</v>
      </c>
      <c r="U11" s="222"/>
      <c r="V11" s="221" t="s">
        <v>151</v>
      </c>
      <c r="W11" s="221" t="s">
        <v>152</v>
      </c>
      <c r="Y11" s="100"/>
      <c r="Z11" s="100"/>
      <c r="AA11" s="100"/>
      <c r="AB11" s="100"/>
      <c r="AC11" s="100"/>
      <c r="AD11" s="100"/>
      <c r="AE11" s="100"/>
      <c r="AF11" s="100"/>
      <c r="AG11" s="100"/>
      <c r="AH11" s="100"/>
      <c r="AI11" s="100"/>
      <c r="AJ11" s="100"/>
      <c r="AK11" s="100"/>
      <c r="AL11" s="100"/>
      <c r="AM11" s="100"/>
      <c r="AN11" s="100"/>
      <c r="AO11" s="100"/>
      <c r="AP11" s="100"/>
      <c r="AQ11" s="100"/>
      <c r="AR11" s="122" t="n">
        <v>0</v>
      </c>
    </row>
    <row r="12" customFormat="false" ht="14.25" hidden="true" customHeight="true" outlineLevel="0" collapsed="false">
      <c r="C12" s="121"/>
      <c r="D12" s="223" t="n">
        <v>0</v>
      </c>
      <c r="E12" s="150"/>
      <c r="F12" s="150"/>
      <c r="G12" s="150"/>
      <c r="H12" s="224"/>
      <c r="I12" s="224"/>
      <c r="J12" s="200"/>
      <c r="K12" s="200"/>
      <c r="L12" s="200"/>
      <c r="M12" s="200"/>
      <c r="N12" s="225"/>
      <c r="O12" s="200"/>
      <c r="P12" s="200"/>
      <c r="Q12" s="200"/>
      <c r="R12" s="226"/>
      <c r="S12" s="200"/>
      <c r="T12" s="200"/>
      <c r="U12" s="200"/>
      <c r="V12" s="226"/>
      <c r="W12" s="200"/>
      <c r="AR12" s="177" t="n">
        <v>0</v>
      </c>
    </row>
    <row r="13" s="177" customFormat="true" ht="17.25" hidden="true" customHeight="true" outlineLevel="0" collapsed="false">
      <c r="A13" s="227"/>
      <c r="C13" s="121"/>
      <c r="D13" s="228" t="n">
        <v>1</v>
      </c>
      <c r="E13" s="229" t="s">
        <v>153</v>
      </c>
      <c r="F13" s="230" t="s">
        <v>19</v>
      </c>
      <c r="G13" s="229"/>
      <c r="H13" s="231"/>
      <c r="I13" s="232"/>
      <c r="J13" s="233"/>
      <c r="K13" s="234"/>
      <c r="L13" s="234"/>
      <c r="M13" s="234"/>
      <c r="N13" s="235"/>
      <c r="O13" s="234"/>
      <c r="P13" s="234"/>
      <c r="Q13" s="234"/>
      <c r="R13" s="236"/>
      <c r="S13" s="234"/>
      <c r="T13" s="234"/>
      <c r="U13" s="234"/>
      <c r="V13" s="236"/>
      <c r="W13" s="237"/>
      <c r="Y13" s="238"/>
      <c r="Z13" s="238"/>
      <c r="AA13" s="238"/>
      <c r="AB13" s="238"/>
      <c r="AC13" s="238" t="s">
        <v>154</v>
      </c>
      <c r="AD13" s="238" t="s">
        <v>155</v>
      </c>
      <c r="AE13" s="238" t="s">
        <v>156</v>
      </c>
      <c r="AF13" s="238" t="s">
        <v>157</v>
      </c>
      <c r="AG13" s="238" t="s">
        <v>158</v>
      </c>
      <c r="AH13" s="238" t="str">
        <f aca="false">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38" t="str">
        <f aca="false">IF($G$13=0,"",$G$13)</f>
        <v/>
      </c>
      <c r="AJ13" s="238" t="str">
        <f aca="false">IF($J$13=0,"",$J$13)</f>
        <v/>
      </c>
      <c r="AK13" s="238" t="str">
        <f aca="false">IF($K$13="нет","без дифференциации",IF($N$13=0,"",$N$13))</f>
        <v/>
      </c>
      <c r="AL13" s="238" t="str">
        <f aca="false">IF($O$13="нет","без дифференциации",IF($R$13=0,"",$R$13))</f>
        <v/>
      </c>
      <c r="AM13" s="238" t="str">
        <f aca="false">IF($S$13="нет","без дифференциации",IF($V$13=0,"",$V$13))</f>
        <v/>
      </c>
      <c r="AN13" s="238" t="n">
        <f aca="false">$I$13</f>
        <v>0</v>
      </c>
      <c r="AO13" s="238" t="str">
        <f aca="false">$I$13&amp;"."&amp;$M$13</f>
        <v>.</v>
      </c>
      <c r="AP13" s="238" t="str">
        <f aca="false">$I$13&amp;"."&amp;$M$13&amp;"."&amp;$Q$13</f>
        <v>..</v>
      </c>
      <c r="AQ13" s="238" t="str">
        <f aca="false">$I$13&amp;"."&amp;$M$13&amp;"."&amp;$Q$13&amp;"."&amp;$U$13</f>
        <v>...</v>
      </c>
      <c r="AR13" s="177" t="n">
        <v>0</v>
      </c>
    </row>
    <row r="14" s="177" customFormat="true" ht="17.25" hidden="true" customHeight="true" outlineLevel="0" collapsed="false">
      <c r="A14" s="227"/>
      <c r="D14" s="228"/>
      <c r="E14" s="229"/>
      <c r="F14" s="230"/>
      <c r="G14" s="229"/>
      <c r="H14" s="231"/>
      <c r="I14" s="232"/>
      <c r="J14" s="233"/>
      <c r="K14" s="234"/>
      <c r="L14" s="234"/>
      <c r="M14" s="234"/>
      <c r="N14" s="235"/>
      <c r="O14" s="234"/>
      <c r="P14" s="234"/>
      <c r="Q14" s="234"/>
      <c r="R14" s="236"/>
      <c r="S14" s="234"/>
      <c r="T14" s="239"/>
      <c r="U14" s="239"/>
      <c r="V14" s="239"/>
      <c r="W14" s="240"/>
      <c r="Y14" s="100"/>
      <c r="Z14" s="100"/>
      <c r="AA14" s="100"/>
      <c r="AB14" s="100"/>
      <c r="AC14" s="100"/>
      <c r="AD14" s="100"/>
      <c r="AE14" s="100"/>
      <c r="AF14" s="100"/>
      <c r="AG14" s="100"/>
      <c r="AH14" s="100"/>
      <c r="AI14" s="100"/>
      <c r="AJ14" s="100"/>
      <c r="AK14" s="100"/>
      <c r="AL14" s="100"/>
      <c r="AM14" s="100"/>
      <c r="AN14" s="100"/>
      <c r="AO14" s="100"/>
      <c r="AP14" s="100"/>
      <c r="AQ14" s="100"/>
      <c r="AR14" s="177" t="n">
        <v>0</v>
      </c>
    </row>
    <row r="15" s="177" customFormat="true" ht="17.25" hidden="true" customHeight="true" outlineLevel="0" collapsed="false">
      <c r="A15" s="227"/>
      <c r="C15" s="121"/>
      <c r="D15" s="228"/>
      <c r="E15" s="229"/>
      <c r="F15" s="230"/>
      <c r="G15" s="229"/>
      <c r="H15" s="231"/>
      <c r="I15" s="232"/>
      <c r="J15" s="233"/>
      <c r="K15" s="234"/>
      <c r="L15" s="234"/>
      <c r="M15" s="234"/>
      <c r="N15" s="235"/>
      <c r="O15" s="234"/>
      <c r="P15" s="118"/>
      <c r="Q15" s="239"/>
      <c r="R15" s="239"/>
      <c r="W15" s="240"/>
      <c r="Y15" s="238"/>
      <c r="Z15" s="238"/>
      <c r="AA15" s="238"/>
      <c r="AB15" s="238"/>
      <c r="AC15" s="238"/>
      <c r="AD15" s="238"/>
      <c r="AE15" s="238"/>
      <c r="AF15" s="238"/>
      <c r="AG15" s="238"/>
      <c r="AH15" s="238"/>
      <c r="AI15" s="238"/>
      <c r="AJ15" s="238"/>
      <c r="AK15" s="238"/>
      <c r="AL15" s="238"/>
      <c r="AM15" s="238"/>
      <c r="AN15" s="238"/>
      <c r="AO15" s="238"/>
      <c r="AP15" s="238"/>
      <c r="AQ15" s="238"/>
      <c r="AR15" s="177" t="n">
        <v>0</v>
      </c>
    </row>
    <row r="16" s="177" customFormat="true" ht="17.25" hidden="true" customHeight="true" outlineLevel="0" collapsed="false">
      <c r="A16" s="227"/>
      <c r="D16" s="228"/>
      <c r="E16" s="229"/>
      <c r="F16" s="230"/>
      <c r="G16" s="229"/>
      <c r="H16" s="231"/>
      <c r="I16" s="232"/>
      <c r="J16" s="233"/>
      <c r="K16" s="234"/>
      <c r="L16" s="239"/>
      <c r="M16" s="239"/>
      <c r="N16" s="239"/>
      <c r="O16" s="239"/>
      <c r="P16" s="239"/>
      <c r="Q16" s="239"/>
      <c r="R16" s="239"/>
      <c r="W16" s="240"/>
      <c r="Y16" s="100"/>
      <c r="Z16" s="100"/>
      <c r="AA16" s="100"/>
      <c r="AB16" s="100"/>
      <c r="AC16" s="100"/>
      <c r="AD16" s="100"/>
      <c r="AE16" s="100"/>
      <c r="AF16" s="100"/>
      <c r="AG16" s="100"/>
      <c r="AH16" s="100"/>
      <c r="AI16" s="100"/>
      <c r="AJ16" s="100"/>
      <c r="AK16" s="100"/>
      <c r="AL16" s="100"/>
      <c r="AM16" s="100"/>
      <c r="AN16" s="100"/>
      <c r="AO16" s="100"/>
      <c r="AP16" s="100"/>
      <c r="AQ16" s="100"/>
      <c r="AR16" s="177" t="n">
        <v>0</v>
      </c>
    </row>
    <row r="17" s="177" customFormat="true" ht="17.25" hidden="true" customHeight="true" outlineLevel="0" collapsed="false">
      <c r="A17" s="227"/>
      <c r="D17" s="228"/>
      <c r="E17" s="229"/>
      <c r="F17" s="230"/>
      <c r="G17" s="229"/>
      <c r="H17" s="241"/>
      <c r="I17" s="242"/>
      <c r="J17" s="242"/>
      <c r="K17" s="242"/>
      <c r="L17" s="242"/>
      <c r="M17" s="242"/>
      <c r="N17" s="242"/>
      <c r="O17" s="242"/>
      <c r="P17" s="242"/>
      <c r="Q17" s="242"/>
      <c r="R17" s="242"/>
      <c r="S17" s="243"/>
      <c r="T17" s="243"/>
      <c r="U17" s="243"/>
      <c r="V17" s="243"/>
      <c r="W17" s="244"/>
      <c r="Y17" s="100"/>
      <c r="Z17" s="100"/>
      <c r="AA17" s="100"/>
      <c r="AB17" s="100"/>
      <c r="AC17" s="100"/>
      <c r="AD17" s="100"/>
      <c r="AE17" s="100"/>
      <c r="AF17" s="100"/>
      <c r="AG17" s="100"/>
      <c r="AH17" s="100"/>
      <c r="AI17" s="100"/>
      <c r="AJ17" s="100"/>
      <c r="AK17" s="100"/>
      <c r="AL17" s="100"/>
      <c r="AM17" s="100"/>
      <c r="AN17" s="100"/>
      <c r="AO17" s="100"/>
      <c r="AP17" s="100"/>
      <c r="AQ17" s="100"/>
      <c r="AR17" s="177" t="n">
        <v>0</v>
      </c>
    </row>
    <row r="18" s="177" customFormat="true" ht="17.25" hidden="true" customHeight="true" outlineLevel="0" collapsed="false">
      <c r="A18" s="227"/>
      <c r="C18" s="121"/>
      <c r="D18" s="228" t="n">
        <v>2</v>
      </c>
      <c r="E18" s="245"/>
      <c r="F18" s="230" t="s">
        <v>19</v>
      </c>
      <c r="G18" s="229"/>
      <c r="H18" s="231"/>
      <c r="I18" s="232"/>
      <c r="J18" s="233"/>
      <c r="K18" s="234"/>
      <c r="L18" s="234"/>
      <c r="M18" s="234"/>
      <c r="N18" s="235"/>
      <c r="O18" s="234"/>
      <c r="P18" s="234"/>
      <c r="Q18" s="234"/>
      <c r="R18" s="236"/>
      <c r="S18" s="234"/>
      <c r="T18" s="234"/>
      <c r="U18" s="234"/>
      <c r="V18" s="236"/>
      <c r="W18" s="237"/>
      <c r="X18" s="238"/>
      <c r="Y18" s="238"/>
      <c r="Z18" s="238"/>
      <c r="AA18" s="238"/>
      <c r="AB18" s="238"/>
      <c r="AC18" s="238" t="s">
        <v>159</v>
      </c>
      <c r="AD18" s="238" t="s">
        <v>160</v>
      </c>
      <c r="AE18" s="238" t="s">
        <v>161</v>
      </c>
      <c r="AF18" s="238" t="s">
        <v>162</v>
      </c>
      <c r="AG18" s="238" t="s">
        <v>163</v>
      </c>
      <c r="AH18" s="238" t="str">
        <f aca="false">IF($E$18=0,"",$E$18)</f>
        <v/>
      </c>
      <c r="AI18" s="238" t="str">
        <f aca="false">IF($G$18=0,"",$G$18)</f>
        <v/>
      </c>
      <c r="AJ18" s="238" t="str">
        <f aca="false">IF($J$18=0,"",$J$18)</f>
        <v/>
      </c>
      <c r="AK18" s="238" t="str">
        <f aca="false">IF($K$18="нет","без дифференциации",IF($N$18=0,"",$N$18))</f>
        <v/>
      </c>
      <c r="AL18" s="238" t="str">
        <f aca="false">IF($O$18="нет","без дифференциации",IF($R$18=0,"",$R$18))</f>
        <v/>
      </c>
      <c r="AM18" s="238" t="str">
        <f aca="false">IF($S$18="нет","без дифференциации",IF($V$18=0,"",$V$18))</f>
        <v/>
      </c>
      <c r="AN18" s="246" t="n">
        <f aca="false">$I$18</f>
        <v>0</v>
      </c>
      <c r="AO18" s="238" t="str">
        <f aca="false">$I$18&amp;"."&amp;$M$18</f>
        <v>.</v>
      </c>
      <c r="AP18" s="100" t="str">
        <f aca="false">$I$18&amp;"."&amp;$M$18&amp;"."&amp;$Q$18</f>
        <v>..</v>
      </c>
      <c r="AQ18" s="100" t="str">
        <f aca="false">$I$18&amp;"."&amp;$M$18&amp;"."&amp;$Q$18&amp;"."&amp;$U$18</f>
        <v>...</v>
      </c>
      <c r="AR18" s="177" t="n">
        <v>0</v>
      </c>
    </row>
    <row r="19" s="177" customFormat="true" ht="17.25" hidden="true" customHeight="true" outlineLevel="0" collapsed="false">
      <c r="A19" s="227"/>
      <c r="D19" s="228"/>
      <c r="E19" s="245"/>
      <c r="F19" s="230"/>
      <c r="G19" s="229"/>
      <c r="H19" s="231"/>
      <c r="I19" s="232"/>
      <c r="J19" s="233"/>
      <c r="K19" s="234"/>
      <c r="L19" s="234"/>
      <c r="M19" s="234"/>
      <c r="N19" s="235"/>
      <c r="O19" s="234"/>
      <c r="P19" s="234"/>
      <c r="Q19" s="234"/>
      <c r="R19" s="236"/>
      <c r="S19" s="234"/>
      <c r="T19" s="239"/>
      <c r="U19" s="239"/>
      <c r="V19" s="239"/>
      <c r="W19" s="240"/>
      <c r="X19" s="100"/>
      <c r="Y19" s="100"/>
      <c r="Z19" s="100"/>
      <c r="AA19" s="100"/>
      <c r="AB19" s="100"/>
      <c r="AC19" s="100"/>
      <c r="AD19" s="100"/>
      <c r="AE19" s="100"/>
      <c r="AF19" s="100"/>
      <c r="AG19" s="100"/>
      <c r="AH19" s="100"/>
      <c r="AI19" s="100"/>
      <c r="AJ19" s="100"/>
      <c r="AK19" s="100"/>
      <c r="AL19" s="100"/>
      <c r="AM19" s="100"/>
      <c r="AN19" s="100"/>
      <c r="AO19" s="100"/>
      <c r="AP19" s="100"/>
      <c r="AQ19" s="100"/>
      <c r="AR19" s="177" t="n">
        <v>0</v>
      </c>
    </row>
    <row r="20" s="177" customFormat="true" ht="17.25" hidden="true" customHeight="true" outlineLevel="0" collapsed="false">
      <c r="A20" s="227"/>
      <c r="D20" s="228"/>
      <c r="E20" s="245"/>
      <c r="F20" s="230"/>
      <c r="G20" s="229"/>
      <c r="H20" s="231"/>
      <c r="I20" s="232"/>
      <c r="J20" s="233"/>
      <c r="K20" s="234"/>
      <c r="L20" s="234"/>
      <c r="M20" s="234"/>
      <c r="N20" s="235"/>
      <c r="O20" s="234"/>
      <c r="P20" s="118"/>
      <c r="Q20" s="239"/>
      <c r="R20" s="239"/>
      <c r="W20" s="240"/>
      <c r="X20" s="100"/>
      <c r="Y20" s="100"/>
      <c r="Z20" s="100"/>
      <c r="AA20" s="100"/>
      <c r="AB20" s="100"/>
      <c r="AC20" s="100"/>
      <c r="AD20" s="100"/>
      <c r="AE20" s="100"/>
      <c r="AF20" s="100"/>
      <c r="AG20" s="100"/>
      <c r="AH20" s="100"/>
      <c r="AI20" s="100"/>
      <c r="AJ20" s="100"/>
      <c r="AK20" s="100"/>
      <c r="AL20" s="100"/>
      <c r="AM20" s="100"/>
      <c r="AN20" s="100"/>
      <c r="AO20" s="100"/>
      <c r="AP20" s="100"/>
      <c r="AQ20" s="100"/>
      <c r="AR20" s="177" t="n">
        <v>0</v>
      </c>
    </row>
    <row r="21" s="177" customFormat="true" ht="17.25" hidden="true" customHeight="true" outlineLevel="0" collapsed="false">
      <c r="A21" s="227"/>
      <c r="D21" s="228"/>
      <c r="E21" s="245"/>
      <c r="F21" s="230"/>
      <c r="G21" s="229"/>
      <c r="H21" s="231"/>
      <c r="I21" s="232"/>
      <c r="J21" s="233"/>
      <c r="K21" s="234"/>
      <c r="L21" s="239"/>
      <c r="M21" s="239"/>
      <c r="N21" s="239"/>
      <c r="O21" s="239"/>
      <c r="P21" s="239"/>
      <c r="Q21" s="239"/>
      <c r="R21" s="239"/>
      <c r="W21" s="240"/>
      <c r="X21" s="100"/>
      <c r="Y21" s="100"/>
      <c r="Z21" s="100"/>
      <c r="AA21" s="100"/>
      <c r="AB21" s="100"/>
      <c r="AC21" s="100"/>
      <c r="AD21" s="100"/>
      <c r="AE21" s="100"/>
      <c r="AF21" s="100"/>
      <c r="AG21" s="100"/>
      <c r="AH21" s="100"/>
      <c r="AI21" s="100"/>
      <c r="AJ21" s="100"/>
      <c r="AK21" s="100"/>
      <c r="AL21" s="100"/>
      <c r="AM21" s="100"/>
      <c r="AN21" s="100"/>
      <c r="AO21" s="100"/>
      <c r="AP21" s="100"/>
      <c r="AQ21" s="100"/>
      <c r="AR21" s="177" t="n">
        <v>0</v>
      </c>
    </row>
    <row r="22" s="177" customFormat="true" ht="17.25" hidden="true" customHeight="true" outlineLevel="0" collapsed="false">
      <c r="A22" s="227"/>
      <c r="D22" s="228"/>
      <c r="E22" s="245"/>
      <c r="F22" s="230"/>
      <c r="G22" s="229"/>
      <c r="H22" s="241"/>
      <c r="I22" s="242"/>
      <c r="J22" s="242"/>
      <c r="K22" s="242"/>
      <c r="L22" s="242"/>
      <c r="M22" s="242"/>
      <c r="N22" s="242"/>
      <c r="O22" s="242"/>
      <c r="P22" s="242"/>
      <c r="Q22" s="242"/>
      <c r="R22" s="242"/>
      <c r="S22" s="243"/>
      <c r="T22" s="243"/>
      <c r="U22" s="243"/>
      <c r="V22" s="243"/>
      <c r="W22" s="244"/>
      <c r="X22" s="100"/>
      <c r="Y22" s="100"/>
      <c r="Z22" s="100"/>
      <c r="AA22" s="100"/>
      <c r="AB22" s="100"/>
      <c r="AC22" s="100"/>
      <c r="AD22" s="100"/>
      <c r="AE22" s="100"/>
      <c r="AF22" s="100"/>
      <c r="AG22" s="100"/>
      <c r="AH22" s="100"/>
      <c r="AI22" s="100"/>
      <c r="AJ22" s="100"/>
      <c r="AK22" s="100"/>
      <c r="AL22" s="100"/>
      <c r="AM22" s="100"/>
      <c r="AN22" s="100"/>
      <c r="AO22" s="100"/>
      <c r="AP22" s="100"/>
      <c r="AQ22" s="100"/>
      <c r="AR22" s="177" t="n">
        <v>0</v>
      </c>
    </row>
    <row r="23" s="177" customFormat="true" ht="17.25" hidden="true" customHeight="true" outlineLevel="0" collapsed="false">
      <c r="A23" s="227"/>
      <c r="C23" s="121"/>
      <c r="D23" s="228" t="n">
        <v>2</v>
      </c>
      <c r="E23" s="229" t="s">
        <v>164</v>
      </c>
      <c r="F23" s="230" t="s">
        <v>19</v>
      </c>
      <c r="G23" s="229"/>
      <c r="H23" s="231"/>
      <c r="I23" s="232"/>
      <c r="J23" s="233"/>
      <c r="K23" s="234"/>
      <c r="L23" s="234"/>
      <c r="M23" s="234"/>
      <c r="N23" s="235"/>
      <c r="O23" s="234"/>
      <c r="P23" s="234"/>
      <c r="Q23" s="234"/>
      <c r="R23" s="236"/>
      <c r="S23" s="234"/>
      <c r="T23" s="234"/>
      <c r="U23" s="234"/>
      <c r="V23" s="236"/>
      <c r="W23" s="237"/>
      <c r="X23" s="238"/>
      <c r="Y23" s="238"/>
      <c r="Z23" s="238"/>
      <c r="AA23" s="238"/>
      <c r="AB23" s="238"/>
      <c r="AC23" s="238" t="s">
        <v>159</v>
      </c>
      <c r="AD23" s="238" t="s">
        <v>160</v>
      </c>
      <c r="AE23" s="238" t="s">
        <v>161</v>
      </c>
      <c r="AF23" s="238" t="s">
        <v>162</v>
      </c>
      <c r="AG23" s="238" t="s">
        <v>163</v>
      </c>
      <c r="AH23" s="238" t="str">
        <f aca="false">IF($E$23=0,"",$E$23)</f>
        <v>Тарифы на тепловую энергию (мощность), поставляемую теплоснабжающими организациями потребителям, другим теплоснабжающим организациям</v>
      </c>
      <c r="AI23" s="238" t="str">
        <f aca="false">IF($G$23=0,"",$G$23)</f>
        <v/>
      </c>
      <c r="AJ23" s="238" t="str">
        <f aca="false">IF($J$23=0,"",$J$23)</f>
        <v/>
      </c>
      <c r="AK23" s="238" t="str">
        <f aca="false">IF($K$23="нет","без дифференциации",IF($N$23=0,"",$N$23))</f>
        <v/>
      </c>
      <c r="AL23" s="238" t="str">
        <f aca="false">IF($O$23="нет","без дифференциации",IF($R$23=0,"",$R$23))</f>
        <v/>
      </c>
      <c r="AM23" s="238" t="str">
        <f aca="false">IF($S$23="нет","без дифференциации",IF($V$23=0,"",$V$23))</f>
        <v/>
      </c>
      <c r="AN23" s="246" t="n">
        <f aca="false">$I$23</f>
        <v>0</v>
      </c>
      <c r="AO23" s="238" t="str">
        <f aca="false">$I$23&amp;"."&amp;$M$23</f>
        <v>.</v>
      </c>
      <c r="AP23" s="100" t="str">
        <f aca="false">$I$23&amp;"."&amp;$M$23&amp;"."&amp;$Q$23</f>
        <v>..</v>
      </c>
      <c r="AQ23" s="100" t="str">
        <f aca="false">$I$23&amp;"."&amp;$M$23&amp;"."&amp;$Q$23&amp;"."&amp;$U$23</f>
        <v>...</v>
      </c>
      <c r="AR23" s="177" t="n">
        <v>0</v>
      </c>
    </row>
    <row r="24" s="177" customFormat="true" ht="17.25" hidden="true" customHeight="true" outlineLevel="0" collapsed="false">
      <c r="A24" s="227"/>
      <c r="D24" s="228"/>
      <c r="E24" s="229"/>
      <c r="F24" s="230"/>
      <c r="G24" s="229"/>
      <c r="H24" s="231"/>
      <c r="I24" s="232"/>
      <c r="J24" s="233"/>
      <c r="K24" s="234"/>
      <c r="L24" s="234"/>
      <c r="M24" s="234"/>
      <c r="N24" s="235"/>
      <c r="O24" s="234"/>
      <c r="P24" s="234"/>
      <c r="Q24" s="234"/>
      <c r="R24" s="236"/>
      <c r="S24" s="234"/>
      <c r="T24" s="239"/>
      <c r="U24" s="239"/>
      <c r="V24" s="239"/>
      <c r="W24" s="240"/>
      <c r="X24" s="100"/>
      <c r="Y24" s="100"/>
      <c r="Z24" s="100"/>
      <c r="AA24" s="100"/>
      <c r="AB24" s="100"/>
      <c r="AC24" s="100"/>
      <c r="AD24" s="100"/>
      <c r="AE24" s="100"/>
      <c r="AF24" s="100"/>
      <c r="AG24" s="100"/>
      <c r="AH24" s="100"/>
      <c r="AI24" s="100"/>
      <c r="AJ24" s="100"/>
      <c r="AK24" s="100"/>
      <c r="AL24" s="100"/>
      <c r="AM24" s="100"/>
      <c r="AN24" s="100"/>
      <c r="AO24" s="100"/>
      <c r="AP24" s="100"/>
      <c r="AQ24" s="100"/>
      <c r="AR24" s="177" t="n">
        <v>0</v>
      </c>
    </row>
    <row r="25" s="177" customFormat="true" ht="17.25" hidden="true" customHeight="true" outlineLevel="0" collapsed="false">
      <c r="A25" s="227"/>
      <c r="D25" s="228"/>
      <c r="E25" s="229"/>
      <c r="F25" s="230"/>
      <c r="G25" s="229"/>
      <c r="H25" s="231"/>
      <c r="I25" s="232"/>
      <c r="J25" s="233"/>
      <c r="K25" s="234"/>
      <c r="L25" s="234"/>
      <c r="M25" s="234"/>
      <c r="N25" s="235"/>
      <c r="O25" s="234"/>
      <c r="P25" s="118"/>
      <c r="Q25" s="239"/>
      <c r="R25" s="239"/>
      <c r="W25" s="240"/>
      <c r="X25" s="100"/>
      <c r="Y25" s="100"/>
      <c r="Z25" s="100"/>
      <c r="AA25" s="100"/>
      <c r="AB25" s="100"/>
      <c r="AC25" s="100"/>
      <c r="AD25" s="100"/>
      <c r="AE25" s="100"/>
      <c r="AF25" s="100"/>
      <c r="AG25" s="100"/>
      <c r="AH25" s="100"/>
      <c r="AI25" s="100"/>
      <c r="AJ25" s="100"/>
      <c r="AK25" s="100"/>
      <c r="AL25" s="100"/>
      <c r="AM25" s="100"/>
      <c r="AN25" s="100"/>
      <c r="AO25" s="100"/>
      <c r="AP25" s="100"/>
      <c r="AQ25" s="100"/>
      <c r="AR25" s="177" t="n">
        <v>0</v>
      </c>
    </row>
    <row r="26" s="177" customFormat="true" ht="17.25" hidden="true" customHeight="true" outlineLevel="0" collapsed="false">
      <c r="A26" s="227"/>
      <c r="D26" s="228"/>
      <c r="E26" s="229"/>
      <c r="F26" s="230"/>
      <c r="G26" s="229"/>
      <c r="H26" s="231"/>
      <c r="I26" s="232"/>
      <c r="J26" s="233"/>
      <c r="K26" s="234"/>
      <c r="L26" s="239"/>
      <c r="M26" s="239"/>
      <c r="N26" s="239"/>
      <c r="O26" s="239"/>
      <c r="P26" s="239"/>
      <c r="Q26" s="239"/>
      <c r="R26" s="239"/>
      <c r="W26" s="240"/>
      <c r="X26" s="100"/>
      <c r="Y26" s="100"/>
      <c r="Z26" s="100"/>
      <c r="AA26" s="100"/>
      <c r="AB26" s="100"/>
      <c r="AC26" s="100"/>
      <c r="AD26" s="100"/>
      <c r="AE26" s="100"/>
      <c r="AF26" s="100"/>
      <c r="AG26" s="100"/>
      <c r="AH26" s="100"/>
      <c r="AI26" s="100"/>
      <c r="AJ26" s="100"/>
      <c r="AK26" s="100"/>
      <c r="AL26" s="100"/>
      <c r="AM26" s="100"/>
      <c r="AN26" s="100"/>
      <c r="AO26" s="100"/>
      <c r="AP26" s="100"/>
      <c r="AQ26" s="100"/>
      <c r="AR26" s="177" t="n">
        <v>0</v>
      </c>
    </row>
    <row r="27" s="177" customFormat="true" ht="17.25" hidden="true" customHeight="true" outlineLevel="0" collapsed="false">
      <c r="A27" s="227"/>
      <c r="D27" s="228"/>
      <c r="E27" s="229"/>
      <c r="F27" s="230"/>
      <c r="G27" s="229"/>
      <c r="H27" s="241"/>
      <c r="I27" s="242"/>
      <c r="J27" s="242"/>
      <c r="K27" s="242"/>
      <c r="L27" s="242"/>
      <c r="M27" s="242"/>
      <c r="N27" s="242"/>
      <c r="O27" s="242"/>
      <c r="P27" s="242"/>
      <c r="Q27" s="242"/>
      <c r="R27" s="242"/>
      <c r="S27" s="243"/>
      <c r="T27" s="243"/>
      <c r="U27" s="243"/>
      <c r="V27" s="243"/>
      <c r="W27" s="244"/>
      <c r="X27" s="100"/>
      <c r="Y27" s="100"/>
      <c r="Z27" s="100"/>
      <c r="AA27" s="100"/>
      <c r="AB27" s="100"/>
      <c r="AC27" s="100"/>
      <c r="AD27" s="100"/>
      <c r="AE27" s="100"/>
      <c r="AF27" s="100"/>
      <c r="AG27" s="100"/>
      <c r="AH27" s="100"/>
      <c r="AI27" s="100"/>
      <c r="AJ27" s="100"/>
      <c r="AK27" s="100"/>
      <c r="AL27" s="100"/>
      <c r="AM27" s="100"/>
      <c r="AN27" s="100"/>
      <c r="AO27" s="100"/>
      <c r="AP27" s="100"/>
      <c r="AQ27" s="100"/>
      <c r="AR27" s="177" t="n">
        <v>0</v>
      </c>
    </row>
    <row r="28" s="177" customFormat="true" ht="17.25" hidden="true" customHeight="true" outlineLevel="0" collapsed="false">
      <c r="A28" s="227"/>
      <c r="C28" s="121"/>
      <c r="D28" s="228" t="n">
        <v>3</v>
      </c>
      <c r="E28" s="229" t="s">
        <v>165</v>
      </c>
      <c r="F28" s="230" t="s">
        <v>19</v>
      </c>
      <c r="G28" s="229"/>
      <c r="H28" s="231"/>
      <c r="I28" s="232"/>
      <c r="J28" s="233"/>
      <c r="K28" s="234"/>
      <c r="L28" s="234"/>
      <c r="M28" s="234"/>
      <c r="N28" s="235"/>
      <c r="O28" s="234"/>
      <c r="P28" s="234"/>
      <c r="Q28" s="234"/>
      <c r="R28" s="236"/>
      <c r="S28" s="234"/>
      <c r="T28" s="234"/>
      <c r="U28" s="234"/>
      <c r="V28" s="236"/>
      <c r="W28" s="237"/>
      <c r="X28" s="238"/>
      <c r="Y28" s="238"/>
      <c r="Z28" s="238"/>
      <c r="AA28" s="238"/>
      <c r="AB28" s="238"/>
      <c r="AC28" s="238" t="s">
        <v>166</v>
      </c>
      <c r="AD28" s="238" t="s">
        <v>167</v>
      </c>
      <c r="AE28" s="238" t="s">
        <v>168</v>
      </c>
      <c r="AF28" s="238" t="s">
        <v>169</v>
      </c>
      <c r="AG28" s="238" t="s">
        <v>170</v>
      </c>
      <c r="AH28" s="238" t="str">
        <f aca="false">IF($E$28=0,"",$E$28)</f>
        <v>Тарифы на теплоноситель, поставляемый теплоснабжающими организациями потребителям, другим теплоснабжающим организациям</v>
      </c>
      <c r="AI28" s="238" t="str">
        <f aca="false">IF($G$28=0,"",$G$28)</f>
        <v/>
      </c>
      <c r="AJ28" s="238" t="str">
        <f aca="false">IF($J$28=0,"",$J$28)</f>
        <v/>
      </c>
      <c r="AK28" s="238" t="str">
        <f aca="false">IF($K$28="нет","без дифференциации",IF($N$28=0,"",$N$28))</f>
        <v/>
      </c>
      <c r="AL28" s="238" t="str">
        <f aca="false">IF($O$28="нет","без дифференциации",IF($R$28=0,"",$R$28))</f>
        <v/>
      </c>
      <c r="AM28" s="238" t="str">
        <f aca="false">IF($S$28="нет","без дифференциации",IF($V$28=0,"",$V$28))</f>
        <v/>
      </c>
      <c r="AN28" s="246" t="n">
        <f aca="false">$I$28</f>
        <v>0</v>
      </c>
      <c r="AO28" s="238" t="str">
        <f aca="false">$I$28&amp;"."&amp;$M$28</f>
        <v>.</v>
      </c>
      <c r="AP28" s="100" t="str">
        <f aca="false">$I$28&amp;"."&amp;$M$28&amp;"."&amp;$Q$28</f>
        <v>..</v>
      </c>
      <c r="AQ28" s="100" t="str">
        <f aca="false">$I$28&amp;"."&amp;$M$28&amp;"."&amp;$Q$28&amp;"."&amp;$U$28</f>
        <v>...</v>
      </c>
      <c r="AR28" s="177" t="n">
        <v>0</v>
      </c>
    </row>
    <row r="29" s="177" customFormat="true" ht="17.25" hidden="true" customHeight="true" outlineLevel="0" collapsed="false">
      <c r="A29" s="227"/>
      <c r="D29" s="228"/>
      <c r="E29" s="229"/>
      <c r="F29" s="230"/>
      <c r="G29" s="229"/>
      <c r="H29" s="231"/>
      <c r="I29" s="232"/>
      <c r="J29" s="233"/>
      <c r="K29" s="234"/>
      <c r="L29" s="234"/>
      <c r="M29" s="234"/>
      <c r="N29" s="235"/>
      <c r="O29" s="234"/>
      <c r="P29" s="234"/>
      <c r="Q29" s="234"/>
      <c r="R29" s="236"/>
      <c r="S29" s="234"/>
      <c r="T29" s="239"/>
      <c r="U29" s="239"/>
      <c r="V29" s="239"/>
      <c r="W29" s="240"/>
      <c r="X29" s="100"/>
      <c r="Y29" s="100"/>
      <c r="Z29" s="100"/>
      <c r="AA29" s="100"/>
      <c r="AB29" s="100"/>
      <c r="AC29" s="100"/>
      <c r="AD29" s="100"/>
      <c r="AE29" s="100"/>
      <c r="AF29" s="100"/>
      <c r="AG29" s="100"/>
      <c r="AH29" s="100"/>
      <c r="AI29" s="100"/>
      <c r="AJ29" s="100"/>
      <c r="AK29" s="100"/>
      <c r="AL29" s="100"/>
      <c r="AM29" s="100"/>
      <c r="AN29" s="100"/>
      <c r="AO29" s="100"/>
      <c r="AP29" s="100"/>
      <c r="AQ29" s="100"/>
      <c r="AR29" s="177" t="n">
        <v>0</v>
      </c>
    </row>
    <row r="30" s="177" customFormat="true" ht="17.25" hidden="true" customHeight="true" outlineLevel="0" collapsed="false">
      <c r="A30" s="227"/>
      <c r="D30" s="228"/>
      <c r="E30" s="229"/>
      <c r="F30" s="230"/>
      <c r="G30" s="229"/>
      <c r="H30" s="231"/>
      <c r="I30" s="232"/>
      <c r="J30" s="233"/>
      <c r="K30" s="234"/>
      <c r="L30" s="234"/>
      <c r="M30" s="234"/>
      <c r="N30" s="235"/>
      <c r="O30" s="234"/>
      <c r="P30" s="118"/>
      <c r="Q30" s="239"/>
      <c r="R30" s="239"/>
      <c r="W30" s="240"/>
      <c r="X30" s="100"/>
      <c r="Y30" s="100"/>
      <c r="Z30" s="100"/>
      <c r="AA30" s="100"/>
      <c r="AB30" s="100"/>
      <c r="AC30" s="100"/>
      <c r="AD30" s="100"/>
      <c r="AE30" s="100"/>
      <c r="AF30" s="100"/>
      <c r="AG30" s="100"/>
      <c r="AH30" s="100"/>
      <c r="AI30" s="100"/>
      <c r="AJ30" s="100"/>
      <c r="AK30" s="100"/>
      <c r="AL30" s="100"/>
      <c r="AM30" s="100"/>
      <c r="AN30" s="100"/>
      <c r="AO30" s="100"/>
      <c r="AP30" s="100"/>
      <c r="AQ30" s="100"/>
      <c r="AR30" s="177" t="n">
        <v>0</v>
      </c>
    </row>
    <row r="31" s="177" customFormat="true" ht="17.25" hidden="true" customHeight="true" outlineLevel="0" collapsed="false">
      <c r="A31" s="227"/>
      <c r="D31" s="228"/>
      <c r="E31" s="229"/>
      <c r="F31" s="230"/>
      <c r="G31" s="229"/>
      <c r="H31" s="231"/>
      <c r="I31" s="232"/>
      <c r="J31" s="233"/>
      <c r="K31" s="234"/>
      <c r="L31" s="239"/>
      <c r="M31" s="239"/>
      <c r="N31" s="239"/>
      <c r="O31" s="239"/>
      <c r="P31" s="239"/>
      <c r="Q31" s="239"/>
      <c r="R31" s="239"/>
      <c r="W31" s="240"/>
      <c r="X31" s="100"/>
      <c r="Y31" s="100"/>
      <c r="Z31" s="100"/>
      <c r="AA31" s="100"/>
      <c r="AB31" s="100"/>
      <c r="AC31" s="100"/>
      <c r="AD31" s="100"/>
      <c r="AE31" s="100"/>
      <c r="AF31" s="100"/>
      <c r="AG31" s="100"/>
      <c r="AH31" s="100"/>
      <c r="AI31" s="100"/>
      <c r="AJ31" s="100"/>
      <c r="AK31" s="100"/>
      <c r="AL31" s="100"/>
      <c r="AM31" s="100"/>
      <c r="AN31" s="100"/>
      <c r="AO31" s="100"/>
      <c r="AP31" s="100"/>
      <c r="AQ31" s="100"/>
      <c r="AR31" s="177" t="n">
        <v>0</v>
      </c>
    </row>
    <row r="32" s="177" customFormat="true" ht="17.25" hidden="true" customHeight="true" outlineLevel="0" collapsed="false">
      <c r="A32" s="227"/>
      <c r="D32" s="228"/>
      <c r="E32" s="229"/>
      <c r="F32" s="230"/>
      <c r="G32" s="229"/>
      <c r="H32" s="241"/>
      <c r="I32" s="242"/>
      <c r="J32" s="242"/>
      <c r="K32" s="242"/>
      <c r="L32" s="242"/>
      <c r="M32" s="242"/>
      <c r="N32" s="242"/>
      <c r="O32" s="242"/>
      <c r="P32" s="242"/>
      <c r="Q32" s="242"/>
      <c r="R32" s="242"/>
      <c r="S32" s="243"/>
      <c r="T32" s="243"/>
      <c r="U32" s="243"/>
      <c r="V32" s="243"/>
      <c r="W32" s="244"/>
      <c r="X32" s="100"/>
      <c r="Y32" s="100"/>
      <c r="Z32" s="100"/>
      <c r="AA32" s="100"/>
      <c r="AB32" s="100"/>
      <c r="AC32" s="100"/>
      <c r="AD32" s="100"/>
      <c r="AE32" s="100"/>
      <c r="AF32" s="100"/>
      <c r="AG32" s="100"/>
      <c r="AH32" s="100"/>
      <c r="AI32" s="100"/>
      <c r="AJ32" s="100"/>
      <c r="AK32" s="100"/>
      <c r="AL32" s="100"/>
      <c r="AM32" s="100"/>
      <c r="AN32" s="100"/>
      <c r="AO32" s="100"/>
      <c r="AP32" s="100"/>
      <c r="AQ32" s="100"/>
      <c r="AR32" s="177" t="n">
        <v>0</v>
      </c>
    </row>
    <row r="33" s="177" customFormat="true" ht="17.25" hidden="true" customHeight="true" outlineLevel="0" collapsed="false">
      <c r="A33" s="227"/>
      <c r="C33" s="121"/>
      <c r="D33" s="228" t="n">
        <v>4</v>
      </c>
      <c r="E33" s="229" t="s">
        <v>171</v>
      </c>
      <c r="F33" s="230" t="s">
        <v>19</v>
      </c>
      <c r="G33" s="229"/>
      <c r="H33" s="231"/>
      <c r="I33" s="232"/>
      <c r="J33" s="233"/>
      <c r="K33" s="234"/>
      <c r="L33" s="234"/>
      <c r="M33" s="234"/>
      <c r="N33" s="235"/>
      <c r="O33" s="234"/>
      <c r="P33" s="234"/>
      <c r="Q33" s="234"/>
      <c r="R33" s="236"/>
      <c r="S33" s="234"/>
      <c r="T33" s="234"/>
      <c r="U33" s="234"/>
      <c r="V33" s="236"/>
      <c r="W33" s="237"/>
      <c r="X33" s="238"/>
      <c r="Y33" s="238"/>
      <c r="Z33" s="238"/>
      <c r="AA33" s="238"/>
      <c r="AB33" s="238"/>
      <c r="AC33" s="238" t="s">
        <v>172</v>
      </c>
      <c r="AD33" s="238" t="s">
        <v>173</v>
      </c>
      <c r="AE33" s="238" t="s">
        <v>174</v>
      </c>
      <c r="AF33" s="238" t="s">
        <v>175</v>
      </c>
      <c r="AG33" s="238" t="s">
        <v>176</v>
      </c>
      <c r="AH33" s="238" t="str">
        <f aca="false">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38" t="str">
        <f aca="false">IF($G$33=0,"",$G$33)</f>
        <v/>
      </c>
      <c r="AJ33" s="238" t="str">
        <f aca="false">IF($J$33=0,"",$J$33)</f>
        <v/>
      </c>
      <c r="AK33" s="238" t="str">
        <f aca="false">IF($K$33="нет","без дифференциации",IF($N$33=0,"",$N$33))</f>
        <v/>
      </c>
      <c r="AL33" s="238" t="str">
        <f aca="false">IF($O$33="нет","без дифференциации",IF($R$33=0,"",$R$33))</f>
        <v/>
      </c>
      <c r="AM33" s="238" t="str">
        <f aca="false">IF($S$33="нет","без дифференциации",IF($V$33=0,"",$V$33))</f>
        <v/>
      </c>
      <c r="AN33" s="246" t="n">
        <f aca="false">$I$33</f>
        <v>0</v>
      </c>
      <c r="AO33" s="238" t="str">
        <f aca="false">$I$33&amp;"."&amp;$M$33</f>
        <v>.</v>
      </c>
      <c r="AP33" s="100" t="str">
        <f aca="false">$I$33&amp;"."&amp;$M$33&amp;"."&amp;$Q$33</f>
        <v>..</v>
      </c>
      <c r="AQ33" s="100" t="str">
        <f aca="false">$I$33&amp;"."&amp;$M$33&amp;"."&amp;$Q$33&amp;"."&amp;$U$33</f>
        <v>...</v>
      </c>
      <c r="AR33" s="177" t="n">
        <v>0</v>
      </c>
    </row>
    <row r="34" s="177" customFormat="true" ht="17.25" hidden="true" customHeight="true" outlineLevel="0" collapsed="false">
      <c r="A34" s="227"/>
      <c r="D34" s="228"/>
      <c r="E34" s="229"/>
      <c r="F34" s="230"/>
      <c r="G34" s="229"/>
      <c r="H34" s="231"/>
      <c r="I34" s="232"/>
      <c r="J34" s="233"/>
      <c r="K34" s="234"/>
      <c r="L34" s="234"/>
      <c r="M34" s="234"/>
      <c r="N34" s="235"/>
      <c r="O34" s="234"/>
      <c r="P34" s="234"/>
      <c r="Q34" s="234"/>
      <c r="R34" s="236"/>
      <c r="S34" s="234"/>
      <c r="T34" s="239"/>
      <c r="U34" s="239"/>
      <c r="V34" s="239"/>
      <c r="W34" s="240"/>
      <c r="X34" s="100"/>
      <c r="Y34" s="100"/>
      <c r="Z34" s="100"/>
      <c r="AA34" s="100"/>
      <c r="AB34" s="100"/>
      <c r="AC34" s="100"/>
      <c r="AD34" s="100"/>
      <c r="AE34" s="100"/>
      <c r="AF34" s="100"/>
      <c r="AG34" s="100"/>
      <c r="AH34" s="100"/>
      <c r="AI34" s="100"/>
      <c r="AJ34" s="100"/>
      <c r="AK34" s="100"/>
      <c r="AL34" s="100"/>
      <c r="AM34" s="100"/>
      <c r="AN34" s="100"/>
      <c r="AO34" s="100"/>
      <c r="AP34" s="100"/>
      <c r="AQ34" s="100"/>
      <c r="AR34" s="177" t="n">
        <v>0</v>
      </c>
    </row>
    <row r="35" s="177" customFormat="true" ht="17.25" hidden="true" customHeight="true" outlineLevel="0" collapsed="false">
      <c r="A35" s="227"/>
      <c r="D35" s="228"/>
      <c r="E35" s="229"/>
      <c r="F35" s="230"/>
      <c r="G35" s="229"/>
      <c r="H35" s="231"/>
      <c r="I35" s="232"/>
      <c r="J35" s="233"/>
      <c r="K35" s="234"/>
      <c r="L35" s="234"/>
      <c r="M35" s="234"/>
      <c r="N35" s="235"/>
      <c r="O35" s="234"/>
      <c r="P35" s="118"/>
      <c r="Q35" s="239"/>
      <c r="R35" s="239"/>
      <c r="W35" s="240"/>
      <c r="X35" s="100"/>
      <c r="Y35" s="100"/>
      <c r="Z35" s="100"/>
      <c r="AA35" s="100"/>
      <c r="AB35" s="100"/>
      <c r="AC35" s="100"/>
      <c r="AD35" s="100"/>
      <c r="AE35" s="100"/>
      <c r="AF35" s="100"/>
      <c r="AG35" s="100"/>
      <c r="AH35" s="100"/>
      <c r="AI35" s="100"/>
      <c r="AJ35" s="100"/>
      <c r="AK35" s="100"/>
      <c r="AL35" s="100"/>
      <c r="AM35" s="100"/>
      <c r="AN35" s="100"/>
      <c r="AO35" s="100"/>
      <c r="AP35" s="100"/>
      <c r="AQ35" s="100"/>
      <c r="AR35" s="177" t="n">
        <v>0</v>
      </c>
    </row>
    <row r="36" s="177" customFormat="true" ht="17.25" hidden="true" customHeight="true" outlineLevel="0" collapsed="false">
      <c r="A36" s="227"/>
      <c r="D36" s="228"/>
      <c r="E36" s="229"/>
      <c r="F36" s="230"/>
      <c r="G36" s="229"/>
      <c r="H36" s="231"/>
      <c r="I36" s="232"/>
      <c r="J36" s="233"/>
      <c r="K36" s="234"/>
      <c r="L36" s="239"/>
      <c r="M36" s="239"/>
      <c r="N36" s="239"/>
      <c r="O36" s="239"/>
      <c r="P36" s="239"/>
      <c r="Q36" s="239"/>
      <c r="R36" s="239"/>
      <c r="W36" s="240"/>
      <c r="X36" s="100"/>
      <c r="Y36" s="100"/>
      <c r="Z36" s="100"/>
      <c r="AA36" s="100"/>
      <c r="AB36" s="100"/>
      <c r="AC36" s="100"/>
      <c r="AD36" s="100"/>
      <c r="AE36" s="100"/>
      <c r="AF36" s="100"/>
      <c r="AG36" s="100"/>
      <c r="AH36" s="100"/>
      <c r="AI36" s="100"/>
      <c r="AJ36" s="100"/>
      <c r="AK36" s="100"/>
      <c r="AL36" s="100"/>
      <c r="AM36" s="100"/>
      <c r="AN36" s="100"/>
      <c r="AO36" s="100"/>
      <c r="AP36" s="100"/>
      <c r="AQ36" s="100"/>
      <c r="AR36" s="177" t="n">
        <v>0</v>
      </c>
    </row>
    <row r="37" s="177" customFormat="true" ht="17.25" hidden="true" customHeight="true" outlineLevel="0" collapsed="false">
      <c r="A37" s="227"/>
      <c r="D37" s="228"/>
      <c r="E37" s="229"/>
      <c r="F37" s="230"/>
      <c r="G37" s="229"/>
      <c r="H37" s="241"/>
      <c r="I37" s="242"/>
      <c r="J37" s="242"/>
      <c r="K37" s="242"/>
      <c r="L37" s="242"/>
      <c r="M37" s="242"/>
      <c r="N37" s="242"/>
      <c r="O37" s="242"/>
      <c r="P37" s="242"/>
      <c r="Q37" s="242"/>
      <c r="R37" s="242"/>
      <c r="S37" s="243"/>
      <c r="T37" s="243"/>
      <c r="U37" s="243"/>
      <c r="V37" s="243"/>
      <c r="W37" s="244"/>
      <c r="X37" s="100"/>
      <c r="Y37" s="100"/>
      <c r="Z37" s="100"/>
      <c r="AA37" s="100"/>
      <c r="AB37" s="100"/>
      <c r="AC37" s="100"/>
      <c r="AD37" s="100"/>
      <c r="AE37" s="100"/>
      <c r="AF37" s="100"/>
      <c r="AG37" s="100"/>
      <c r="AH37" s="100"/>
      <c r="AI37" s="100"/>
      <c r="AJ37" s="100"/>
      <c r="AK37" s="100"/>
      <c r="AL37" s="100"/>
      <c r="AM37" s="100"/>
      <c r="AN37" s="100"/>
      <c r="AO37" s="100"/>
      <c r="AP37" s="100"/>
      <c r="AQ37" s="100"/>
      <c r="AR37" s="177" t="n">
        <v>0</v>
      </c>
    </row>
    <row r="38" s="177" customFormat="true" ht="17.25" hidden="true" customHeight="true" outlineLevel="0" collapsed="false">
      <c r="A38" s="227"/>
      <c r="C38" s="121"/>
      <c r="D38" s="228" t="n">
        <v>5</v>
      </c>
      <c r="E38" s="229" t="s">
        <v>177</v>
      </c>
      <c r="F38" s="230" t="s">
        <v>19</v>
      </c>
      <c r="G38" s="229"/>
      <c r="H38" s="231"/>
      <c r="I38" s="232"/>
      <c r="J38" s="233"/>
      <c r="K38" s="234"/>
      <c r="L38" s="234"/>
      <c r="M38" s="234"/>
      <c r="N38" s="235"/>
      <c r="O38" s="234"/>
      <c r="P38" s="234"/>
      <c r="Q38" s="234"/>
      <c r="R38" s="236"/>
      <c r="S38" s="234"/>
      <c r="T38" s="234"/>
      <c r="U38" s="234"/>
      <c r="V38" s="236"/>
      <c r="W38" s="237"/>
      <c r="X38" s="238"/>
      <c r="Y38" s="238"/>
      <c r="Z38" s="238"/>
      <c r="AA38" s="238"/>
      <c r="AB38" s="238"/>
      <c r="AC38" s="238" t="s">
        <v>178</v>
      </c>
      <c r="AD38" s="238" t="s">
        <v>179</v>
      </c>
      <c r="AE38" s="238" t="s">
        <v>180</v>
      </c>
      <c r="AF38" s="238" t="s">
        <v>181</v>
      </c>
      <c r="AG38" s="238" t="s">
        <v>182</v>
      </c>
      <c r="AH38" s="238" t="str">
        <f aca="false">IF($E$38=0,"",$E$38)</f>
        <v>Тарифы на услуги по передаче тепловой энергии</v>
      </c>
      <c r="AI38" s="238" t="str">
        <f aca="false">IF($G$38=0,"",$G$38)</f>
        <v/>
      </c>
      <c r="AJ38" s="238" t="str">
        <f aca="false">IF($J$38=0,"",$J$38)</f>
        <v/>
      </c>
      <c r="AK38" s="238" t="str">
        <f aca="false">IF($K$38="нет","без дифференциации",IF($N$38=0,"",$N$38))</f>
        <v/>
      </c>
      <c r="AL38" s="238" t="str">
        <f aca="false">IF($O$38="нет","без дифференциации",IF($R$38=0,"",$R$38))</f>
        <v/>
      </c>
      <c r="AM38" s="238" t="str">
        <f aca="false">IF($S$38="нет","без дифференциации",IF($V$38=0,"",$V$38))</f>
        <v/>
      </c>
      <c r="AN38" s="246" t="n">
        <f aca="false">$I$38</f>
        <v>0</v>
      </c>
      <c r="AO38" s="238" t="str">
        <f aca="false">$I$38&amp;"."&amp;$M$38</f>
        <v>.</v>
      </c>
      <c r="AP38" s="100" t="str">
        <f aca="false">$I$38&amp;"."&amp;$M$38&amp;"."&amp;$Q$38</f>
        <v>..</v>
      </c>
      <c r="AQ38" s="100" t="str">
        <f aca="false">$I$38&amp;"."&amp;$M$38&amp;"."&amp;$Q$38&amp;"."&amp;$U$38</f>
        <v>...</v>
      </c>
      <c r="AR38" s="177" t="n">
        <v>0</v>
      </c>
    </row>
    <row r="39" s="177" customFormat="true" ht="17.25" hidden="true" customHeight="true" outlineLevel="0" collapsed="false">
      <c r="A39" s="227"/>
      <c r="D39" s="228"/>
      <c r="E39" s="229"/>
      <c r="F39" s="230"/>
      <c r="G39" s="229"/>
      <c r="H39" s="231"/>
      <c r="I39" s="232"/>
      <c r="J39" s="233"/>
      <c r="K39" s="234"/>
      <c r="L39" s="234"/>
      <c r="M39" s="234"/>
      <c r="N39" s="235"/>
      <c r="O39" s="234"/>
      <c r="P39" s="234"/>
      <c r="Q39" s="234"/>
      <c r="R39" s="236"/>
      <c r="S39" s="234"/>
      <c r="T39" s="239"/>
      <c r="U39" s="239"/>
      <c r="V39" s="239"/>
      <c r="W39" s="240"/>
      <c r="X39" s="100"/>
      <c r="Y39" s="100"/>
      <c r="Z39" s="100"/>
      <c r="AA39" s="100"/>
      <c r="AB39" s="100"/>
      <c r="AC39" s="100"/>
      <c r="AD39" s="100"/>
      <c r="AE39" s="100"/>
      <c r="AF39" s="100"/>
      <c r="AG39" s="100"/>
      <c r="AH39" s="100"/>
      <c r="AI39" s="100"/>
      <c r="AJ39" s="100"/>
      <c r="AK39" s="100"/>
      <c r="AL39" s="100"/>
      <c r="AM39" s="100"/>
      <c r="AN39" s="100"/>
      <c r="AO39" s="100"/>
      <c r="AP39" s="100"/>
      <c r="AQ39" s="100"/>
      <c r="AR39" s="177" t="n">
        <v>0</v>
      </c>
    </row>
    <row r="40" s="177" customFormat="true" ht="17.25" hidden="true" customHeight="true" outlineLevel="0" collapsed="false">
      <c r="A40" s="227"/>
      <c r="D40" s="228"/>
      <c r="E40" s="229"/>
      <c r="F40" s="230"/>
      <c r="G40" s="229"/>
      <c r="H40" s="231"/>
      <c r="I40" s="232"/>
      <c r="J40" s="233"/>
      <c r="K40" s="234"/>
      <c r="L40" s="234"/>
      <c r="M40" s="234"/>
      <c r="N40" s="235"/>
      <c r="O40" s="234"/>
      <c r="P40" s="118"/>
      <c r="Q40" s="239"/>
      <c r="R40" s="239"/>
      <c r="W40" s="240"/>
      <c r="X40" s="100"/>
      <c r="Y40" s="100"/>
      <c r="Z40" s="100"/>
      <c r="AA40" s="100"/>
      <c r="AB40" s="100"/>
      <c r="AC40" s="100"/>
      <c r="AD40" s="100"/>
      <c r="AE40" s="100"/>
      <c r="AF40" s="100"/>
      <c r="AG40" s="100"/>
      <c r="AH40" s="100"/>
      <c r="AI40" s="100"/>
      <c r="AJ40" s="100"/>
      <c r="AK40" s="100"/>
      <c r="AL40" s="100"/>
      <c r="AM40" s="100"/>
      <c r="AN40" s="100"/>
      <c r="AO40" s="100"/>
      <c r="AP40" s="100"/>
      <c r="AQ40" s="100"/>
      <c r="AR40" s="177" t="n">
        <v>0</v>
      </c>
    </row>
    <row r="41" s="177" customFormat="true" ht="17.25" hidden="true" customHeight="true" outlineLevel="0" collapsed="false">
      <c r="A41" s="227"/>
      <c r="D41" s="228"/>
      <c r="E41" s="229"/>
      <c r="F41" s="230"/>
      <c r="G41" s="229"/>
      <c r="H41" s="231"/>
      <c r="I41" s="232"/>
      <c r="J41" s="233"/>
      <c r="K41" s="234"/>
      <c r="L41" s="239"/>
      <c r="M41" s="239"/>
      <c r="N41" s="239"/>
      <c r="O41" s="239"/>
      <c r="P41" s="239"/>
      <c r="Q41" s="239"/>
      <c r="R41" s="239"/>
      <c r="W41" s="240"/>
      <c r="X41" s="100"/>
      <c r="Y41" s="100"/>
      <c r="Z41" s="100"/>
      <c r="AA41" s="100"/>
      <c r="AB41" s="100"/>
      <c r="AC41" s="100"/>
      <c r="AD41" s="100"/>
      <c r="AE41" s="100"/>
      <c r="AF41" s="100"/>
      <c r="AG41" s="100"/>
      <c r="AH41" s="100"/>
      <c r="AI41" s="100"/>
      <c r="AJ41" s="100"/>
      <c r="AK41" s="100"/>
      <c r="AL41" s="100"/>
      <c r="AM41" s="100"/>
      <c r="AN41" s="100"/>
      <c r="AO41" s="100"/>
      <c r="AP41" s="100"/>
      <c r="AQ41" s="100"/>
      <c r="AR41" s="177" t="n">
        <v>0</v>
      </c>
    </row>
    <row r="42" s="177" customFormat="true" ht="17.25" hidden="true" customHeight="true" outlineLevel="0" collapsed="false">
      <c r="A42" s="227"/>
      <c r="D42" s="228"/>
      <c r="E42" s="229"/>
      <c r="F42" s="230"/>
      <c r="G42" s="229"/>
      <c r="H42" s="241"/>
      <c r="I42" s="242"/>
      <c r="J42" s="242"/>
      <c r="K42" s="242"/>
      <c r="L42" s="242"/>
      <c r="M42" s="242"/>
      <c r="N42" s="242"/>
      <c r="O42" s="242"/>
      <c r="P42" s="242"/>
      <c r="Q42" s="242"/>
      <c r="R42" s="242"/>
      <c r="S42" s="243"/>
      <c r="T42" s="243"/>
      <c r="U42" s="243"/>
      <c r="V42" s="243"/>
      <c r="W42" s="244"/>
      <c r="X42" s="100"/>
      <c r="Y42" s="100"/>
      <c r="Z42" s="100"/>
      <c r="AA42" s="100"/>
      <c r="AB42" s="100"/>
      <c r="AC42" s="100"/>
      <c r="AD42" s="100"/>
      <c r="AE42" s="100"/>
      <c r="AF42" s="100"/>
      <c r="AG42" s="100"/>
      <c r="AH42" s="100"/>
      <c r="AI42" s="100"/>
      <c r="AJ42" s="100"/>
      <c r="AK42" s="100"/>
      <c r="AL42" s="100"/>
      <c r="AM42" s="100"/>
      <c r="AN42" s="100"/>
      <c r="AO42" s="100"/>
      <c r="AP42" s="100"/>
      <c r="AQ42" s="100"/>
      <c r="AR42" s="177" t="n">
        <v>0</v>
      </c>
    </row>
    <row r="43" s="177" customFormat="true" ht="17.25" hidden="true" customHeight="true" outlineLevel="0" collapsed="false">
      <c r="A43" s="227"/>
      <c r="C43" s="121"/>
      <c r="D43" s="228" t="n">
        <v>6</v>
      </c>
      <c r="E43" s="229" t="s">
        <v>183</v>
      </c>
      <c r="F43" s="230" t="s">
        <v>19</v>
      </c>
      <c r="G43" s="229"/>
      <c r="H43" s="231"/>
      <c r="I43" s="232"/>
      <c r="J43" s="233"/>
      <c r="K43" s="234"/>
      <c r="L43" s="234"/>
      <c r="M43" s="234"/>
      <c r="N43" s="235"/>
      <c r="O43" s="234"/>
      <c r="P43" s="234"/>
      <c r="Q43" s="234"/>
      <c r="R43" s="236"/>
      <c r="S43" s="234"/>
      <c r="T43" s="234"/>
      <c r="U43" s="234"/>
      <c r="V43" s="236"/>
      <c r="W43" s="237"/>
      <c r="X43" s="238"/>
      <c r="Y43" s="238"/>
      <c r="Z43" s="238"/>
      <c r="AA43" s="238"/>
      <c r="AB43" s="238"/>
      <c r="AC43" s="238" t="s">
        <v>184</v>
      </c>
      <c r="AD43" s="238" t="s">
        <v>185</v>
      </c>
      <c r="AE43" s="238" t="s">
        <v>186</v>
      </c>
      <c r="AF43" s="238" t="s">
        <v>187</v>
      </c>
      <c r="AG43" s="238" t="s">
        <v>188</v>
      </c>
      <c r="AH43" s="238" t="str">
        <f aca="false">IF($E$43=0,"",$E$43)</f>
        <v>Тарифы на услуги по передаче теплоносителя</v>
      </c>
      <c r="AI43" s="238" t="str">
        <f aca="false">IF($G$43=0,"",$G$43)</f>
        <v/>
      </c>
      <c r="AJ43" s="238" t="str">
        <f aca="false">IF($J$43=0,"",$J$43)</f>
        <v/>
      </c>
      <c r="AK43" s="238" t="str">
        <f aca="false">IF($K$43="нет","без дифференциации",IF($N$43=0,"",$N$43))</f>
        <v/>
      </c>
      <c r="AL43" s="238" t="str">
        <f aca="false">IF($O$43="нет","без дифференциации",IF($R$43=0,"",$R$43))</f>
        <v/>
      </c>
      <c r="AM43" s="238" t="str">
        <f aca="false">IF($S$43="нет","без дифференциации",IF($V$43=0,"",$V$43))</f>
        <v/>
      </c>
      <c r="AN43" s="246" t="n">
        <f aca="false">$I$43</f>
        <v>0</v>
      </c>
      <c r="AO43" s="238" t="str">
        <f aca="false">$I$43&amp;"."&amp;$M$43</f>
        <v>.</v>
      </c>
      <c r="AP43" s="100" t="str">
        <f aca="false">$I$43&amp;"."&amp;$M$43&amp;"."&amp;$Q$43</f>
        <v>..</v>
      </c>
      <c r="AQ43" s="100" t="str">
        <f aca="false">$I$43&amp;"."&amp;$M$43&amp;"."&amp;$Q$43&amp;"."&amp;$U$43</f>
        <v>...</v>
      </c>
      <c r="AR43" s="177" t="n">
        <v>0</v>
      </c>
    </row>
    <row r="44" s="177" customFormat="true" ht="17.25" hidden="true" customHeight="true" outlineLevel="0" collapsed="false">
      <c r="A44" s="227"/>
      <c r="D44" s="228"/>
      <c r="E44" s="229"/>
      <c r="F44" s="230"/>
      <c r="G44" s="229"/>
      <c r="H44" s="231"/>
      <c r="I44" s="232"/>
      <c r="J44" s="233"/>
      <c r="K44" s="234"/>
      <c r="L44" s="234"/>
      <c r="M44" s="234"/>
      <c r="N44" s="235"/>
      <c r="O44" s="234"/>
      <c r="P44" s="234"/>
      <c r="Q44" s="234"/>
      <c r="R44" s="236"/>
      <c r="S44" s="234"/>
      <c r="T44" s="239"/>
      <c r="U44" s="239"/>
      <c r="V44" s="239"/>
      <c r="W44" s="240"/>
      <c r="X44" s="100"/>
      <c r="Y44" s="100"/>
      <c r="Z44" s="100"/>
      <c r="AA44" s="100"/>
      <c r="AB44" s="100"/>
      <c r="AC44" s="100"/>
      <c r="AD44" s="100"/>
      <c r="AE44" s="100"/>
      <c r="AF44" s="100"/>
      <c r="AG44" s="100"/>
      <c r="AH44" s="100"/>
      <c r="AI44" s="100"/>
      <c r="AJ44" s="100"/>
      <c r="AK44" s="100"/>
      <c r="AL44" s="100"/>
      <c r="AM44" s="100"/>
      <c r="AN44" s="100"/>
      <c r="AO44" s="100"/>
      <c r="AP44" s="100"/>
      <c r="AQ44" s="100"/>
      <c r="AR44" s="177" t="n">
        <v>0</v>
      </c>
    </row>
    <row r="45" s="177" customFormat="true" ht="17.25" hidden="true" customHeight="true" outlineLevel="0" collapsed="false">
      <c r="A45" s="227"/>
      <c r="D45" s="228"/>
      <c r="E45" s="229"/>
      <c r="F45" s="230"/>
      <c r="G45" s="229"/>
      <c r="H45" s="231"/>
      <c r="I45" s="232"/>
      <c r="J45" s="233"/>
      <c r="K45" s="234"/>
      <c r="L45" s="234"/>
      <c r="M45" s="234"/>
      <c r="N45" s="235"/>
      <c r="O45" s="234"/>
      <c r="P45" s="118"/>
      <c r="Q45" s="239"/>
      <c r="R45" s="239"/>
      <c r="W45" s="240"/>
      <c r="X45" s="100"/>
      <c r="Y45" s="100"/>
      <c r="Z45" s="100"/>
      <c r="AA45" s="100"/>
      <c r="AB45" s="100"/>
      <c r="AC45" s="100"/>
      <c r="AD45" s="100"/>
      <c r="AE45" s="100"/>
      <c r="AF45" s="100"/>
      <c r="AG45" s="100"/>
      <c r="AH45" s="100"/>
      <c r="AI45" s="100"/>
      <c r="AJ45" s="100"/>
      <c r="AK45" s="100"/>
      <c r="AL45" s="100"/>
      <c r="AM45" s="100"/>
      <c r="AN45" s="100"/>
      <c r="AO45" s="100"/>
      <c r="AP45" s="100"/>
      <c r="AQ45" s="100"/>
      <c r="AR45" s="177" t="n">
        <v>0</v>
      </c>
    </row>
    <row r="46" s="177" customFormat="true" ht="17.25" hidden="true" customHeight="true" outlineLevel="0" collapsed="false">
      <c r="A46" s="227"/>
      <c r="C46" s="121"/>
      <c r="D46" s="228"/>
      <c r="E46" s="229"/>
      <c r="F46" s="230"/>
      <c r="G46" s="229"/>
      <c r="H46" s="231"/>
      <c r="I46" s="232"/>
      <c r="J46" s="233"/>
      <c r="K46" s="234"/>
      <c r="L46" s="239"/>
      <c r="M46" s="239"/>
      <c r="N46" s="239"/>
      <c r="O46" s="239"/>
      <c r="P46" s="239"/>
      <c r="Q46" s="239"/>
      <c r="R46" s="239"/>
      <c r="W46" s="240"/>
      <c r="Y46" s="238"/>
      <c r="Z46" s="238"/>
      <c r="AA46" s="238"/>
      <c r="AB46" s="238"/>
      <c r="AC46" s="238"/>
      <c r="AD46" s="238"/>
      <c r="AE46" s="238"/>
      <c r="AF46" s="238"/>
      <c r="AG46" s="238"/>
      <c r="AH46" s="238"/>
      <c r="AI46" s="238"/>
      <c r="AJ46" s="238"/>
      <c r="AK46" s="238"/>
      <c r="AL46" s="238"/>
      <c r="AM46" s="238"/>
      <c r="AN46" s="238"/>
      <c r="AO46" s="238"/>
      <c r="AP46" s="238"/>
      <c r="AQ46" s="238"/>
      <c r="AR46" s="177" t="n">
        <v>0</v>
      </c>
    </row>
    <row r="47" s="177" customFormat="true" ht="17.25" hidden="true" customHeight="true" outlineLevel="0" collapsed="false">
      <c r="A47" s="227"/>
      <c r="D47" s="228"/>
      <c r="E47" s="229"/>
      <c r="F47" s="230"/>
      <c r="G47" s="229"/>
      <c r="H47" s="241"/>
      <c r="I47" s="242"/>
      <c r="J47" s="242"/>
      <c r="K47" s="242"/>
      <c r="L47" s="242"/>
      <c r="M47" s="242"/>
      <c r="N47" s="242"/>
      <c r="O47" s="242"/>
      <c r="P47" s="242"/>
      <c r="Q47" s="242"/>
      <c r="R47" s="242"/>
      <c r="S47" s="243"/>
      <c r="T47" s="243"/>
      <c r="U47" s="243"/>
      <c r="V47" s="243"/>
      <c r="W47" s="244"/>
      <c r="X47" s="100"/>
      <c r="Y47" s="100"/>
      <c r="Z47" s="100"/>
      <c r="AA47" s="100"/>
      <c r="AB47" s="100"/>
      <c r="AC47" s="100"/>
      <c r="AD47" s="100"/>
      <c r="AE47" s="100"/>
      <c r="AF47" s="100"/>
      <c r="AG47" s="100"/>
      <c r="AH47" s="100"/>
      <c r="AI47" s="100"/>
      <c r="AJ47" s="100"/>
      <c r="AK47" s="100"/>
      <c r="AL47" s="100"/>
      <c r="AM47" s="100"/>
      <c r="AN47" s="100"/>
      <c r="AO47" s="100"/>
      <c r="AP47" s="100"/>
      <c r="AQ47" s="100"/>
      <c r="AR47" s="177" t="n">
        <v>0</v>
      </c>
    </row>
    <row r="48" s="177" customFormat="true" ht="17.25" hidden="true" customHeight="true" outlineLevel="0" collapsed="false">
      <c r="A48" s="227"/>
      <c r="C48" s="121"/>
      <c r="D48" s="228" t="n">
        <v>7</v>
      </c>
      <c r="E48" s="229" t="s">
        <v>189</v>
      </c>
      <c r="F48" s="230" t="s">
        <v>19</v>
      </c>
      <c r="G48" s="229"/>
      <c r="H48" s="231"/>
      <c r="I48" s="232"/>
      <c r="J48" s="233"/>
      <c r="K48" s="234"/>
      <c r="L48" s="234"/>
      <c r="M48" s="234"/>
      <c r="N48" s="235"/>
      <c r="O48" s="234"/>
      <c r="P48" s="234"/>
      <c r="Q48" s="234"/>
      <c r="R48" s="236"/>
      <c r="S48" s="234"/>
      <c r="T48" s="234"/>
      <c r="U48" s="234"/>
      <c r="V48" s="236"/>
      <c r="W48" s="237"/>
      <c r="X48" s="238"/>
      <c r="Y48" s="238"/>
      <c r="Z48" s="238"/>
      <c r="AA48" s="238"/>
      <c r="AB48" s="238"/>
      <c r="AC48" s="238" t="s">
        <v>190</v>
      </c>
      <c r="AD48" s="238" t="s">
        <v>191</v>
      </c>
      <c r="AE48" s="238" t="s">
        <v>192</v>
      </c>
      <c r="AF48" s="238" t="s">
        <v>193</v>
      </c>
      <c r="AG48" s="238" t="s">
        <v>194</v>
      </c>
      <c r="AH48" s="238" t="str">
        <f aca="false">IF($E$48=0,"",$E$48)</f>
        <v>Плата за услуги по поддержанию резервной тепловой мощности при отсутствии потребления тепловой энергии</v>
      </c>
      <c r="AI48" s="238" t="str">
        <f aca="false">IF($G$48=0,"",$G$48)</f>
        <v/>
      </c>
      <c r="AJ48" s="238" t="str">
        <f aca="false">IF($J$48=0,"",$J$48)</f>
        <v/>
      </c>
      <c r="AK48" s="238" t="str">
        <f aca="false">IF($K$48="нет","без дифференциации",IF($N$48=0,"",$N$48))</f>
        <v/>
      </c>
      <c r="AL48" s="238" t="str">
        <f aca="false">IF($O$48="нет","без дифференциации",IF($R$48=0,"",$R$48))</f>
        <v/>
      </c>
      <c r="AM48" s="238" t="str">
        <f aca="false">IF($S$48="нет","без дифференциации",IF($V$48=0,"",$V$48))</f>
        <v/>
      </c>
      <c r="AN48" s="246" t="n">
        <f aca="false">$I$48</f>
        <v>0</v>
      </c>
      <c r="AO48" s="238" t="str">
        <f aca="false">$I$48&amp;"."&amp;$M$48</f>
        <v>.</v>
      </c>
      <c r="AP48" s="100" t="str">
        <f aca="false">$I$48&amp;"."&amp;$M$48&amp;"."&amp;$Q$48</f>
        <v>..</v>
      </c>
      <c r="AQ48" s="100" t="str">
        <f aca="false">$I$48&amp;"."&amp;$M$48&amp;"."&amp;$Q$48&amp;"."&amp;$U$48</f>
        <v>...</v>
      </c>
      <c r="AR48" s="177" t="n">
        <v>0</v>
      </c>
    </row>
    <row r="49" s="177" customFormat="true" ht="17.25" hidden="true" customHeight="true" outlineLevel="0" collapsed="false">
      <c r="A49" s="227"/>
      <c r="D49" s="228"/>
      <c r="E49" s="229"/>
      <c r="F49" s="230"/>
      <c r="G49" s="229"/>
      <c r="H49" s="231"/>
      <c r="I49" s="232"/>
      <c r="J49" s="233"/>
      <c r="K49" s="234"/>
      <c r="L49" s="234"/>
      <c r="M49" s="234"/>
      <c r="N49" s="235"/>
      <c r="O49" s="234"/>
      <c r="P49" s="234"/>
      <c r="Q49" s="234"/>
      <c r="R49" s="236"/>
      <c r="S49" s="234"/>
      <c r="T49" s="239"/>
      <c r="U49" s="239"/>
      <c r="V49" s="239"/>
      <c r="W49" s="240"/>
      <c r="X49" s="100"/>
      <c r="Y49" s="100"/>
      <c r="Z49" s="100"/>
      <c r="AA49" s="100"/>
      <c r="AB49" s="100"/>
      <c r="AC49" s="100"/>
      <c r="AD49" s="100"/>
      <c r="AE49" s="100"/>
      <c r="AF49" s="100"/>
      <c r="AG49" s="100"/>
      <c r="AH49" s="100"/>
      <c r="AI49" s="100"/>
      <c r="AJ49" s="100"/>
      <c r="AK49" s="100"/>
      <c r="AL49" s="100"/>
      <c r="AM49" s="100"/>
      <c r="AN49" s="100"/>
      <c r="AO49" s="100"/>
      <c r="AP49" s="100"/>
      <c r="AQ49" s="100"/>
      <c r="AR49" s="177" t="n">
        <v>0</v>
      </c>
    </row>
    <row r="50" s="177" customFormat="true" ht="17.25" hidden="true" customHeight="true" outlineLevel="0" collapsed="false">
      <c r="A50" s="227"/>
      <c r="D50" s="228"/>
      <c r="E50" s="229"/>
      <c r="F50" s="230"/>
      <c r="G50" s="229"/>
      <c r="H50" s="231"/>
      <c r="I50" s="232"/>
      <c r="J50" s="233"/>
      <c r="K50" s="234"/>
      <c r="L50" s="234"/>
      <c r="M50" s="234"/>
      <c r="N50" s="235"/>
      <c r="O50" s="234"/>
      <c r="P50" s="118"/>
      <c r="Q50" s="239"/>
      <c r="R50" s="239"/>
      <c r="W50" s="240"/>
      <c r="X50" s="100"/>
      <c r="Y50" s="100"/>
      <c r="Z50" s="100"/>
      <c r="AA50" s="100"/>
      <c r="AB50" s="100"/>
      <c r="AC50" s="100"/>
      <c r="AD50" s="100"/>
      <c r="AE50" s="100"/>
      <c r="AF50" s="100"/>
      <c r="AG50" s="100"/>
      <c r="AH50" s="100"/>
      <c r="AI50" s="100"/>
      <c r="AJ50" s="100"/>
      <c r="AK50" s="100"/>
      <c r="AL50" s="100"/>
      <c r="AM50" s="100"/>
      <c r="AN50" s="100"/>
      <c r="AO50" s="100"/>
      <c r="AP50" s="100"/>
      <c r="AQ50" s="100"/>
      <c r="AR50" s="177" t="n">
        <v>0</v>
      </c>
    </row>
    <row r="51" s="177" customFormat="true" ht="17.25" hidden="true" customHeight="true" outlineLevel="0" collapsed="false">
      <c r="A51" s="227"/>
      <c r="C51" s="121"/>
      <c r="D51" s="228"/>
      <c r="E51" s="229"/>
      <c r="F51" s="230"/>
      <c r="G51" s="229"/>
      <c r="H51" s="231"/>
      <c r="I51" s="232"/>
      <c r="J51" s="233"/>
      <c r="K51" s="234"/>
      <c r="L51" s="239"/>
      <c r="M51" s="239"/>
      <c r="N51" s="239"/>
      <c r="O51" s="239"/>
      <c r="P51" s="239"/>
      <c r="Q51" s="239"/>
      <c r="R51" s="239"/>
      <c r="W51" s="240"/>
      <c r="Y51" s="238"/>
      <c r="Z51" s="238"/>
      <c r="AA51" s="238"/>
      <c r="AB51" s="238"/>
      <c r="AC51" s="238"/>
      <c r="AD51" s="238"/>
      <c r="AE51" s="238"/>
      <c r="AF51" s="238"/>
      <c r="AG51" s="238"/>
      <c r="AH51" s="238"/>
      <c r="AI51" s="238"/>
      <c r="AJ51" s="238"/>
      <c r="AK51" s="238"/>
      <c r="AL51" s="238"/>
      <c r="AM51" s="238"/>
      <c r="AN51" s="238"/>
      <c r="AO51" s="238"/>
      <c r="AP51" s="238"/>
      <c r="AQ51" s="238"/>
      <c r="AR51" s="177" t="n">
        <v>0</v>
      </c>
    </row>
    <row r="52" s="177" customFormat="true" ht="17.25" hidden="true" customHeight="true" outlineLevel="0" collapsed="false">
      <c r="A52" s="227"/>
      <c r="D52" s="228"/>
      <c r="E52" s="229"/>
      <c r="F52" s="230"/>
      <c r="G52" s="229"/>
      <c r="H52" s="241"/>
      <c r="I52" s="242"/>
      <c r="J52" s="242"/>
      <c r="K52" s="242"/>
      <c r="L52" s="242"/>
      <c r="M52" s="242"/>
      <c r="N52" s="242"/>
      <c r="O52" s="242"/>
      <c r="P52" s="242"/>
      <c r="Q52" s="242"/>
      <c r="R52" s="242"/>
      <c r="S52" s="243"/>
      <c r="T52" s="243"/>
      <c r="U52" s="243"/>
      <c r="V52" s="243"/>
      <c r="W52" s="244"/>
      <c r="X52" s="100"/>
      <c r="Y52" s="100"/>
      <c r="Z52" s="100"/>
      <c r="AA52" s="100"/>
      <c r="AB52" s="100"/>
      <c r="AC52" s="100"/>
      <c r="AD52" s="100"/>
      <c r="AE52" s="100"/>
      <c r="AF52" s="100"/>
      <c r="AG52" s="100"/>
      <c r="AH52" s="100"/>
      <c r="AI52" s="100"/>
      <c r="AJ52" s="100"/>
      <c r="AK52" s="100"/>
      <c r="AL52" s="100"/>
      <c r="AM52" s="100"/>
      <c r="AN52" s="100"/>
      <c r="AO52" s="100"/>
      <c r="AP52" s="100"/>
      <c r="AQ52" s="100"/>
      <c r="AR52" s="177" t="n">
        <v>0</v>
      </c>
    </row>
    <row r="53" s="177" customFormat="true" ht="17.25" hidden="true" customHeight="true" outlineLevel="0" collapsed="false">
      <c r="A53" s="227"/>
      <c r="C53" s="121"/>
      <c r="D53" s="228" t="n">
        <v>8</v>
      </c>
      <c r="E53" s="229" t="s">
        <v>195</v>
      </c>
      <c r="F53" s="230" t="s">
        <v>19</v>
      </c>
      <c r="G53" s="229"/>
      <c r="H53" s="231"/>
      <c r="I53" s="232"/>
      <c r="J53" s="233"/>
      <c r="K53" s="234"/>
      <c r="L53" s="234"/>
      <c r="M53" s="234"/>
      <c r="N53" s="235"/>
      <c r="O53" s="234"/>
      <c r="P53" s="234"/>
      <c r="Q53" s="234"/>
      <c r="R53" s="236"/>
      <c r="S53" s="234"/>
      <c r="T53" s="234"/>
      <c r="U53" s="234"/>
      <c r="V53" s="236"/>
      <c r="W53" s="237"/>
      <c r="X53" s="238"/>
      <c r="Y53" s="238"/>
      <c r="Z53" s="238"/>
      <c r="AA53" s="238"/>
      <c r="AB53" s="238"/>
      <c r="AC53" s="238" t="s">
        <v>196</v>
      </c>
      <c r="AD53" s="238" t="s">
        <v>197</v>
      </c>
      <c r="AE53" s="238" t="s">
        <v>198</v>
      </c>
      <c r="AF53" s="238" t="s">
        <v>199</v>
      </c>
      <c r="AG53" s="238" t="s">
        <v>200</v>
      </c>
      <c r="AH53" s="238" t="str">
        <f aca="false">IF($E$53=0,"",$E$53)</f>
        <v>Плата за подключение (технологическое присоединение) к системе теплоснабжения</v>
      </c>
      <c r="AI53" s="238" t="str">
        <f aca="false">IF($G$53=0,"",$G$53)</f>
        <v/>
      </c>
      <c r="AJ53" s="238" t="str">
        <f aca="false">IF($J$53=0,"",$J$53)</f>
        <v/>
      </c>
      <c r="AK53" s="238" t="str">
        <f aca="false">IF($K$53="нет","без дифференциации",IF($N$53=0,"",$N$53))</f>
        <v/>
      </c>
      <c r="AL53" s="238" t="str">
        <f aca="false">IF($O$53="нет","без дифференциации",IF($R$53=0,"",$R$53))</f>
        <v/>
      </c>
      <c r="AM53" s="238" t="str">
        <f aca="false">IF($S$53="нет","без дифференциации",IF($V$53=0,"",$V$53))</f>
        <v/>
      </c>
      <c r="AN53" s="246" t="n">
        <f aca="false">$I$53</f>
        <v>0</v>
      </c>
      <c r="AO53" s="238" t="str">
        <f aca="false">$I$53&amp;"."&amp;$M$53</f>
        <v>.</v>
      </c>
      <c r="AP53" s="100" t="str">
        <f aca="false">$I$53&amp;"."&amp;$M$53&amp;"."&amp;$Q$53</f>
        <v>..</v>
      </c>
      <c r="AQ53" s="100" t="str">
        <f aca="false">$I$53&amp;"."&amp;$M$53&amp;"."&amp;$Q$53&amp;"."&amp;$U$53</f>
        <v>...</v>
      </c>
      <c r="AR53" s="177" t="n">
        <v>0</v>
      </c>
    </row>
    <row r="54" s="177" customFormat="true" ht="17.25" hidden="true" customHeight="true" outlineLevel="0" collapsed="false">
      <c r="A54" s="227"/>
      <c r="D54" s="228"/>
      <c r="E54" s="229"/>
      <c r="F54" s="230"/>
      <c r="G54" s="229"/>
      <c r="H54" s="231"/>
      <c r="I54" s="232"/>
      <c r="J54" s="233"/>
      <c r="K54" s="234"/>
      <c r="L54" s="234"/>
      <c r="M54" s="234"/>
      <c r="N54" s="235"/>
      <c r="O54" s="234"/>
      <c r="P54" s="234"/>
      <c r="Q54" s="234"/>
      <c r="R54" s="236"/>
      <c r="S54" s="234"/>
      <c r="T54" s="239"/>
      <c r="U54" s="239"/>
      <c r="V54" s="239"/>
      <c r="W54" s="240"/>
      <c r="X54" s="100"/>
      <c r="Y54" s="100"/>
      <c r="Z54" s="100"/>
      <c r="AA54" s="100"/>
      <c r="AB54" s="100"/>
      <c r="AC54" s="100"/>
      <c r="AD54" s="100"/>
      <c r="AE54" s="100"/>
      <c r="AF54" s="100"/>
      <c r="AG54" s="100"/>
      <c r="AH54" s="100"/>
      <c r="AI54" s="100"/>
      <c r="AJ54" s="100"/>
      <c r="AK54" s="100"/>
      <c r="AL54" s="100"/>
      <c r="AM54" s="100"/>
      <c r="AN54" s="100"/>
      <c r="AO54" s="100"/>
      <c r="AP54" s="100"/>
      <c r="AQ54" s="100"/>
      <c r="AR54" s="177" t="n">
        <v>0</v>
      </c>
    </row>
    <row r="55" s="177" customFormat="true" ht="17.25" hidden="true" customHeight="true" outlineLevel="0" collapsed="false">
      <c r="A55" s="227"/>
      <c r="D55" s="228"/>
      <c r="E55" s="229"/>
      <c r="F55" s="230"/>
      <c r="G55" s="229"/>
      <c r="H55" s="231"/>
      <c r="I55" s="232"/>
      <c r="J55" s="233"/>
      <c r="K55" s="234"/>
      <c r="L55" s="234"/>
      <c r="M55" s="234"/>
      <c r="N55" s="235"/>
      <c r="O55" s="234"/>
      <c r="P55" s="118"/>
      <c r="Q55" s="239"/>
      <c r="R55" s="239"/>
      <c r="W55" s="240"/>
      <c r="X55" s="100"/>
      <c r="Y55" s="100"/>
      <c r="Z55" s="100"/>
      <c r="AA55" s="100"/>
      <c r="AB55" s="100"/>
      <c r="AC55" s="100"/>
      <c r="AD55" s="100"/>
      <c r="AE55" s="100"/>
      <c r="AF55" s="100"/>
      <c r="AG55" s="100"/>
      <c r="AH55" s="100"/>
      <c r="AI55" s="100"/>
      <c r="AJ55" s="100"/>
      <c r="AK55" s="100"/>
      <c r="AL55" s="100"/>
      <c r="AM55" s="100"/>
      <c r="AN55" s="100"/>
      <c r="AO55" s="100"/>
      <c r="AP55" s="100"/>
      <c r="AQ55" s="100"/>
      <c r="AR55" s="177" t="n">
        <v>0</v>
      </c>
    </row>
    <row r="56" s="177" customFormat="true" ht="17.25" hidden="true" customHeight="true" outlineLevel="0" collapsed="false">
      <c r="A56" s="227"/>
      <c r="C56" s="121"/>
      <c r="D56" s="228"/>
      <c r="E56" s="229"/>
      <c r="F56" s="230"/>
      <c r="G56" s="229"/>
      <c r="H56" s="231"/>
      <c r="I56" s="232"/>
      <c r="J56" s="233"/>
      <c r="K56" s="234"/>
      <c r="L56" s="239"/>
      <c r="M56" s="239"/>
      <c r="N56" s="239"/>
      <c r="O56" s="239"/>
      <c r="P56" s="239"/>
      <c r="Q56" s="239"/>
      <c r="R56" s="239"/>
      <c r="W56" s="240"/>
      <c r="Y56" s="238"/>
      <c r="Z56" s="238"/>
      <c r="AA56" s="238"/>
      <c r="AB56" s="238"/>
      <c r="AC56" s="238"/>
      <c r="AD56" s="238"/>
      <c r="AE56" s="238"/>
      <c r="AF56" s="238"/>
      <c r="AG56" s="238"/>
      <c r="AH56" s="238"/>
      <c r="AI56" s="238"/>
      <c r="AJ56" s="238"/>
      <c r="AK56" s="238"/>
      <c r="AL56" s="238"/>
      <c r="AM56" s="238"/>
      <c r="AN56" s="238"/>
      <c r="AO56" s="238"/>
      <c r="AP56" s="238"/>
      <c r="AQ56" s="238"/>
      <c r="AR56" s="177" t="n">
        <v>0</v>
      </c>
    </row>
    <row r="57" s="177" customFormat="true" ht="17.25" hidden="true" customHeight="true" outlineLevel="0" collapsed="false">
      <c r="A57" s="227"/>
      <c r="D57" s="228"/>
      <c r="E57" s="229"/>
      <c r="F57" s="230"/>
      <c r="G57" s="229"/>
      <c r="H57" s="241"/>
      <c r="I57" s="242"/>
      <c r="J57" s="242"/>
      <c r="K57" s="242"/>
      <c r="L57" s="242"/>
      <c r="M57" s="242"/>
      <c r="N57" s="242"/>
      <c r="O57" s="242"/>
      <c r="P57" s="242"/>
      <c r="Q57" s="242"/>
      <c r="R57" s="242"/>
      <c r="S57" s="243"/>
      <c r="T57" s="243"/>
      <c r="U57" s="243"/>
      <c r="V57" s="243"/>
      <c r="W57" s="244"/>
      <c r="X57" s="100"/>
      <c r="Y57" s="100"/>
      <c r="Z57" s="100"/>
      <c r="AA57" s="100"/>
      <c r="AB57" s="100"/>
      <c r="AC57" s="100"/>
      <c r="AD57" s="100"/>
      <c r="AE57" s="100"/>
      <c r="AF57" s="100"/>
      <c r="AG57" s="100"/>
      <c r="AH57" s="100"/>
      <c r="AI57" s="100"/>
      <c r="AJ57" s="100"/>
      <c r="AK57" s="100"/>
      <c r="AL57" s="100"/>
      <c r="AM57" s="100"/>
      <c r="AN57" s="100"/>
      <c r="AO57" s="100"/>
      <c r="AP57" s="100"/>
      <c r="AQ57" s="100"/>
      <c r="AR57" s="177" t="n">
        <v>0</v>
      </c>
    </row>
    <row r="58" s="177" customFormat="true" ht="17.25" hidden="true" customHeight="true" outlineLevel="0" collapsed="false">
      <c r="A58" s="227"/>
      <c r="C58" s="121"/>
      <c r="D58" s="228" t="n">
        <v>9</v>
      </c>
      <c r="E58" s="229" t="s">
        <v>201</v>
      </c>
      <c r="F58" s="230" t="s">
        <v>19</v>
      </c>
      <c r="G58" s="229"/>
      <c r="H58" s="231"/>
      <c r="I58" s="232"/>
      <c r="J58" s="233"/>
      <c r="K58" s="234"/>
      <c r="L58" s="234"/>
      <c r="M58" s="234"/>
      <c r="N58" s="235"/>
      <c r="O58" s="234"/>
      <c r="P58" s="234"/>
      <c r="Q58" s="234"/>
      <c r="R58" s="236"/>
      <c r="S58" s="234"/>
      <c r="T58" s="234"/>
      <c r="U58" s="234"/>
      <c r="V58" s="236"/>
      <c r="W58" s="237"/>
      <c r="X58" s="238"/>
      <c r="Y58" s="238"/>
      <c r="Z58" s="238"/>
      <c r="AA58" s="238"/>
      <c r="AB58" s="238"/>
      <c r="AC58" s="238" t="s">
        <v>202</v>
      </c>
      <c r="AD58" s="238" t="s">
        <v>203</v>
      </c>
      <c r="AE58" s="238" t="s">
        <v>204</v>
      </c>
      <c r="AF58" s="238" t="s">
        <v>205</v>
      </c>
      <c r="AG58" s="238" t="s">
        <v>206</v>
      </c>
      <c r="AH58" s="238" t="str">
        <f aca="false">IF($E$58=0,"",$E$58)</f>
        <v>Плата за подключение (технологическое присоединение) к системе теплоснабжения (индивидуальная)</v>
      </c>
      <c r="AI58" s="238" t="str">
        <f aca="false">IF($G$58=0,"",$G$58)</f>
        <v/>
      </c>
      <c r="AJ58" s="238" t="str">
        <f aca="false">IF($J$58=0,"",$J$58)</f>
        <v/>
      </c>
      <c r="AK58" s="238" t="str">
        <f aca="false">IF($K$58="нет","без дифференциации",IF($N$58=0,"",$N$58))</f>
        <v/>
      </c>
      <c r="AL58" s="238" t="str">
        <f aca="false">IF($O$58="нет","без дифференциации",IF($R$58=0,"",$R$58))</f>
        <v/>
      </c>
      <c r="AM58" s="238" t="str">
        <f aca="false">IF($S$58="нет","без дифференциации",IF($V$58=0,"",$V$58))</f>
        <v/>
      </c>
      <c r="AN58" s="246" t="n">
        <f aca="false">$I$58</f>
        <v>0</v>
      </c>
      <c r="AO58" s="238" t="str">
        <f aca="false">$I$58&amp;"."&amp;$M$58</f>
        <v>.</v>
      </c>
      <c r="AP58" s="100" t="str">
        <f aca="false">$I$58&amp;"."&amp;$M$58&amp;"."&amp;$Q$58</f>
        <v>..</v>
      </c>
      <c r="AQ58" s="100" t="str">
        <f aca="false">$I$58&amp;"."&amp;$M$58&amp;"."&amp;$Q$58&amp;"."&amp;$U$58</f>
        <v>...</v>
      </c>
      <c r="AR58" s="177" t="n">
        <v>0</v>
      </c>
    </row>
    <row r="59" s="177" customFormat="true" ht="17.25" hidden="true" customHeight="true" outlineLevel="0" collapsed="false">
      <c r="A59" s="227"/>
      <c r="D59" s="228"/>
      <c r="E59" s="229"/>
      <c r="F59" s="230"/>
      <c r="G59" s="229"/>
      <c r="H59" s="231"/>
      <c r="I59" s="232"/>
      <c r="J59" s="233"/>
      <c r="K59" s="234"/>
      <c r="L59" s="234"/>
      <c r="M59" s="234"/>
      <c r="N59" s="235"/>
      <c r="O59" s="234"/>
      <c r="P59" s="234"/>
      <c r="Q59" s="234"/>
      <c r="R59" s="236"/>
      <c r="S59" s="234"/>
      <c r="T59" s="239"/>
      <c r="U59" s="239"/>
      <c r="V59" s="239"/>
      <c r="W59" s="240"/>
      <c r="X59" s="100"/>
      <c r="Y59" s="100"/>
      <c r="Z59" s="100"/>
      <c r="AA59" s="100"/>
      <c r="AB59" s="100"/>
      <c r="AC59" s="100"/>
      <c r="AD59" s="100"/>
      <c r="AE59" s="100"/>
      <c r="AF59" s="100"/>
      <c r="AG59" s="100"/>
      <c r="AH59" s="100"/>
      <c r="AI59" s="100"/>
      <c r="AJ59" s="100"/>
      <c r="AK59" s="100"/>
      <c r="AL59" s="100"/>
      <c r="AM59" s="100"/>
      <c r="AN59" s="100"/>
      <c r="AO59" s="100"/>
      <c r="AP59" s="100"/>
      <c r="AQ59" s="100"/>
      <c r="AR59" s="177" t="n">
        <v>0</v>
      </c>
    </row>
    <row r="60" s="177" customFormat="true" ht="17.25" hidden="true" customHeight="true" outlineLevel="0" collapsed="false">
      <c r="A60" s="227"/>
      <c r="D60" s="228"/>
      <c r="E60" s="229"/>
      <c r="F60" s="230"/>
      <c r="G60" s="229"/>
      <c r="H60" s="231"/>
      <c r="I60" s="232"/>
      <c r="J60" s="233"/>
      <c r="K60" s="234"/>
      <c r="L60" s="234"/>
      <c r="M60" s="234"/>
      <c r="N60" s="235"/>
      <c r="O60" s="234"/>
      <c r="P60" s="118"/>
      <c r="Q60" s="239"/>
      <c r="R60" s="239"/>
      <c r="W60" s="240"/>
      <c r="X60" s="100"/>
      <c r="Y60" s="100"/>
      <c r="Z60" s="100"/>
      <c r="AA60" s="100"/>
      <c r="AB60" s="100"/>
      <c r="AC60" s="100"/>
      <c r="AD60" s="100"/>
      <c r="AE60" s="100"/>
      <c r="AF60" s="100"/>
      <c r="AG60" s="100"/>
      <c r="AH60" s="100"/>
      <c r="AI60" s="100"/>
      <c r="AJ60" s="100"/>
      <c r="AK60" s="100"/>
      <c r="AL60" s="100"/>
      <c r="AM60" s="100"/>
      <c r="AN60" s="100"/>
      <c r="AO60" s="100"/>
      <c r="AP60" s="100"/>
      <c r="AQ60" s="100"/>
      <c r="AR60" s="177" t="n">
        <v>0</v>
      </c>
    </row>
    <row r="61" s="177" customFormat="true" ht="17.25" hidden="true" customHeight="true" outlineLevel="0" collapsed="false">
      <c r="A61" s="227"/>
      <c r="C61" s="121"/>
      <c r="D61" s="228"/>
      <c r="E61" s="229"/>
      <c r="F61" s="230"/>
      <c r="G61" s="229"/>
      <c r="H61" s="231"/>
      <c r="I61" s="232"/>
      <c r="J61" s="233"/>
      <c r="K61" s="234"/>
      <c r="L61" s="239"/>
      <c r="M61" s="239"/>
      <c r="N61" s="239"/>
      <c r="O61" s="239"/>
      <c r="P61" s="239"/>
      <c r="Q61" s="239"/>
      <c r="R61" s="239"/>
      <c r="W61" s="240"/>
      <c r="Y61" s="238"/>
      <c r="Z61" s="238"/>
      <c r="AA61" s="238"/>
      <c r="AB61" s="238"/>
      <c r="AC61" s="238"/>
      <c r="AD61" s="238"/>
      <c r="AE61" s="238"/>
      <c r="AF61" s="238"/>
      <c r="AG61" s="238"/>
      <c r="AH61" s="238"/>
      <c r="AI61" s="238"/>
      <c r="AJ61" s="238"/>
      <c r="AK61" s="238"/>
      <c r="AL61" s="238"/>
      <c r="AM61" s="238"/>
      <c r="AN61" s="238"/>
      <c r="AO61" s="238"/>
      <c r="AP61" s="238"/>
      <c r="AQ61" s="238"/>
      <c r="AR61" s="177" t="n">
        <v>0</v>
      </c>
    </row>
    <row r="62" s="177" customFormat="true" ht="17.25" hidden="true" customHeight="true" outlineLevel="0" collapsed="false">
      <c r="A62" s="227"/>
      <c r="D62" s="228"/>
      <c r="E62" s="229"/>
      <c r="F62" s="230"/>
      <c r="G62" s="229"/>
      <c r="H62" s="241"/>
      <c r="I62" s="242"/>
      <c r="J62" s="242"/>
      <c r="K62" s="242"/>
      <c r="L62" s="242"/>
      <c r="M62" s="242"/>
      <c r="N62" s="242"/>
      <c r="O62" s="242"/>
      <c r="P62" s="242"/>
      <c r="Q62" s="242"/>
      <c r="R62" s="242"/>
      <c r="S62" s="243"/>
      <c r="T62" s="243"/>
      <c r="U62" s="243"/>
      <c r="V62" s="243"/>
      <c r="W62" s="244"/>
      <c r="X62" s="100"/>
      <c r="Y62" s="100"/>
      <c r="Z62" s="100"/>
      <c r="AA62" s="100"/>
      <c r="AB62" s="100"/>
      <c r="AC62" s="100"/>
      <c r="AD62" s="100"/>
      <c r="AE62" s="100"/>
      <c r="AF62" s="100"/>
      <c r="AG62" s="100"/>
      <c r="AH62" s="100"/>
      <c r="AI62" s="100"/>
      <c r="AJ62" s="100"/>
      <c r="AK62" s="100"/>
      <c r="AL62" s="100"/>
      <c r="AM62" s="100"/>
      <c r="AN62" s="100"/>
      <c r="AO62" s="100"/>
      <c r="AP62" s="100"/>
      <c r="AQ62" s="100"/>
      <c r="AR62" s="177" t="n">
        <v>0</v>
      </c>
    </row>
    <row r="63" s="177" customFormat="true" ht="17.25" hidden="true" customHeight="true" outlineLevel="0" collapsed="false">
      <c r="A63" s="227"/>
      <c r="C63" s="121"/>
      <c r="D63" s="228" t="n">
        <v>10</v>
      </c>
      <c r="E63" s="229" t="s">
        <v>207</v>
      </c>
      <c r="F63" s="230" t="s">
        <v>19</v>
      </c>
      <c r="G63" s="229"/>
      <c r="H63" s="231"/>
      <c r="I63" s="232"/>
      <c r="J63" s="233"/>
      <c r="K63" s="234"/>
      <c r="L63" s="234"/>
      <c r="M63" s="234"/>
      <c r="N63" s="235"/>
      <c r="O63" s="234"/>
      <c r="P63" s="234"/>
      <c r="Q63" s="234"/>
      <c r="R63" s="236"/>
      <c r="S63" s="234"/>
      <c r="T63" s="234"/>
      <c r="U63" s="234"/>
      <c r="V63" s="236"/>
      <c r="W63" s="237"/>
      <c r="X63" s="238"/>
      <c r="Y63" s="238"/>
      <c r="Z63" s="238"/>
      <c r="AA63" s="238"/>
      <c r="AB63" s="238"/>
      <c r="AC63" s="238" t="s">
        <v>208</v>
      </c>
      <c r="AD63" s="238" t="s">
        <v>209</v>
      </c>
      <c r="AE63" s="238" t="s">
        <v>210</v>
      </c>
      <c r="AF63" s="238" t="s">
        <v>211</v>
      </c>
      <c r="AG63" s="238" t="s">
        <v>212</v>
      </c>
      <c r="AH63" s="238" t="str">
        <f aca="false">IF($E$63=0,"",$E$63)</f>
        <v>Предельный уровень цены на тепловую энергию (мощность), поставляемую теплоснабжающими организациями потребителям</v>
      </c>
      <c r="AI63" s="238" t="str">
        <f aca="false">IF($G$63=0,"",$G$63)</f>
        <v/>
      </c>
      <c r="AJ63" s="238" t="str">
        <f aca="false">IF($J$63=0,"",$J$63)</f>
        <v/>
      </c>
      <c r="AK63" s="238" t="str">
        <f aca="false">IF($K$63="нет","без дифференциации",IF($N$63=0,"",$N$63))</f>
        <v/>
      </c>
      <c r="AL63" s="238" t="str">
        <f aca="false">IF($O$63="нет","без дифференциации",IF($R$63=0,"",$R$63))</f>
        <v/>
      </c>
      <c r="AM63" s="238" t="str">
        <f aca="false">IF($S$63="нет","без дифференциации",IF($V$63=0,"",$V$63))</f>
        <v/>
      </c>
      <c r="AN63" s="246" t="n">
        <f aca="false">$I$63</f>
        <v>0</v>
      </c>
      <c r="AO63" s="238" t="str">
        <f aca="false">$I$63&amp;"."&amp;$M$63</f>
        <v>.</v>
      </c>
      <c r="AP63" s="100" t="str">
        <f aca="false">$I$63&amp;"."&amp;$M$63&amp;"."&amp;$Q$63</f>
        <v>..</v>
      </c>
      <c r="AQ63" s="100" t="str">
        <f aca="false">$I$63&amp;"."&amp;$M$63&amp;"."&amp;$Q$63&amp;"."&amp;$U$63</f>
        <v>...</v>
      </c>
      <c r="AR63" s="177" t="n">
        <v>0</v>
      </c>
    </row>
    <row r="64" s="177" customFormat="true" ht="17.25" hidden="true" customHeight="true" outlineLevel="0" collapsed="false">
      <c r="A64" s="227"/>
      <c r="D64" s="228"/>
      <c r="E64" s="229"/>
      <c r="F64" s="230"/>
      <c r="G64" s="229"/>
      <c r="H64" s="231"/>
      <c r="I64" s="232"/>
      <c r="J64" s="233"/>
      <c r="K64" s="234"/>
      <c r="L64" s="234"/>
      <c r="M64" s="234"/>
      <c r="N64" s="235"/>
      <c r="O64" s="234"/>
      <c r="P64" s="234"/>
      <c r="Q64" s="234"/>
      <c r="R64" s="236"/>
      <c r="S64" s="234"/>
      <c r="T64" s="239"/>
      <c r="U64" s="239"/>
      <c r="V64" s="239"/>
      <c r="W64" s="240"/>
      <c r="X64" s="100"/>
      <c r="Y64" s="100"/>
      <c r="Z64" s="100"/>
      <c r="AA64" s="100"/>
      <c r="AB64" s="100"/>
      <c r="AC64" s="100"/>
      <c r="AD64" s="100"/>
      <c r="AE64" s="100"/>
      <c r="AF64" s="100"/>
      <c r="AG64" s="100"/>
      <c r="AH64" s="100"/>
      <c r="AI64" s="100"/>
      <c r="AJ64" s="100"/>
      <c r="AK64" s="100"/>
      <c r="AL64" s="100"/>
      <c r="AM64" s="100"/>
      <c r="AN64" s="100"/>
      <c r="AO64" s="100"/>
      <c r="AP64" s="100"/>
      <c r="AQ64" s="100"/>
      <c r="AR64" s="177" t="n">
        <v>0</v>
      </c>
    </row>
    <row r="65" s="177" customFormat="true" ht="17.25" hidden="true" customHeight="true" outlineLevel="0" collapsed="false">
      <c r="A65" s="227"/>
      <c r="D65" s="228"/>
      <c r="E65" s="229"/>
      <c r="F65" s="230"/>
      <c r="G65" s="229"/>
      <c r="H65" s="231"/>
      <c r="I65" s="232"/>
      <c r="J65" s="233"/>
      <c r="K65" s="234"/>
      <c r="L65" s="234"/>
      <c r="M65" s="234"/>
      <c r="N65" s="235"/>
      <c r="O65" s="234"/>
      <c r="P65" s="118"/>
      <c r="Q65" s="239"/>
      <c r="R65" s="239"/>
      <c r="W65" s="240"/>
      <c r="X65" s="100"/>
      <c r="Y65" s="100"/>
      <c r="Z65" s="100"/>
      <c r="AA65" s="100"/>
      <c r="AB65" s="100"/>
      <c r="AC65" s="100"/>
      <c r="AD65" s="100"/>
      <c r="AE65" s="100"/>
      <c r="AF65" s="100"/>
      <c r="AG65" s="100"/>
      <c r="AH65" s="100"/>
      <c r="AI65" s="100"/>
      <c r="AJ65" s="100"/>
      <c r="AK65" s="100"/>
      <c r="AL65" s="100"/>
      <c r="AM65" s="100"/>
      <c r="AN65" s="100"/>
      <c r="AO65" s="100"/>
      <c r="AP65" s="100"/>
      <c r="AQ65" s="100"/>
      <c r="AR65" s="177" t="n">
        <v>0</v>
      </c>
    </row>
    <row r="66" s="177" customFormat="true" ht="17.25" hidden="true" customHeight="true" outlineLevel="0" collapsed="false">
      <c r="A66" s="227"/>
      <c r="C66" s="121"/>
      <c r="D66" s="228"/>
      <c r="E66" s="229"/>
      <c r="F66" s="230"/>
      <c r="G66" s="229"/>
      <c r="H66" s="231"/>
      <c r="I66" s="232"/>
      <c r="J66" s="233"/>
      <c r="K66" s="234"/>
      <c r="L66" s="239"/>
      <c r="M66" s="239"/>
      <c r="N66" s="239"/>
      <c r="O66" s="239"/>
      <c r="P66" s="239"/>
      <c r="Q66" s="239"/>
      <c r="R66" s="239"/>
      <c r="W66" s="240"/>
      <c r="Y66" s="238"/>
      <c r="Z66" s="238"/>
      <c r="AA66" s="238"/>
      <c r="AB66" s="238"/>
      <c r="AC66" s="238"/>
      <c r="AD66" s="238"/>
      <c r="AE66" s="238"/>
      <c r="AF66" s="238"/>
      <c r="AG66" s="238"/>
      <c r="AH66" s="238"/>
      <c r="AI66" s="238"/>
      <c r="AJ66" s="238"/>
      <c r="AK66" s="238"/>
      <c r="AL66" s="238"/>
      <c r="AM66" s="238"/>
      <c r="AN66" s="238"/>
      <c r="AO66" s="238"/>
      <c r="AP66" s="238"/>
      <c r="AQ66" s="238"/>
      <c r="AR66" s="177" t="n">
        <v>0</v>
      </c>
    </row>
    <row r="67" s="177" customFormat="true" ht="17.25" hidden="true" customHeight="true" outlineLevel="0" collapsed="false">
      <c r="A67" s="227"/>
      <c r="D67" s="228"/>
      <c r="E67" s="229"/>
      <c r="F67" s="230"/>
      <c r="G67" s="229"/>
      <c r="H67" s="241"/>
      <c r="I67" s="242"/>
      <c r="J67" s="242"/>
      <c r="K67" s="242"/>
      <c r="L67" s="242"/>
      <c r="M67" s="242"/>
      <c r="N67" s="242"/>
      <c r="O67" s="242"/>
      <c r="P67" s="242"/>
      <c r="Q67" s="242"/>
      <c r="R67" s="242"/>
      <c r="S67" s="243"/>
      <c r="T67" s="243"/>
      <c r="U67" s="243"/>
      <c r="V67" s="243"/>
      <c r="W67" s="244"/>
      <c r="X67" s="100"/>
      <c r="Y67" s="100"/>
      <c r="Z67" s="100"/>
      <c r="AA67" s="100"/>
      <c r="AB67" s="100"/>
      <c r="AC67" s="100"/>
      <c r="AD67" s="100"/>
      <c r="AE67" s="100"/>
      <c r="AF67" s="100"/>
      <c r="AG67" s="100"/>
      <c r="AH67" s="100"/>
      <c r="AI67" s="100"/>
      <c r="AJ67" s="100"/>
      <c r="AK67" s="100"/>
      <c r="AL67" s="100"/>
      <c r="AM67" s="100"/>
      <c r="AN67" s="100"/>
      <c r="AO67" s="100"/>
      <c r="AP67" s="100"/>
      <c r="AQ67" s="100"/>
      <c r="AR67" s="177" t="n">
        <v>0</v>
      </c>
    </row>
    <row r="68" customFormat="false" ht="11.25" hidden="true" customHeight="true" outlineLevel="0" collapsed="false">
      <c r="AR68" s="177" t="n">
        <v>0</v>
      </c>
    </row>
    <row r="69" customFormat="false" ht="11.25" hidden="true" customHeight="true" outlineLevel="0" collapsed="false">
      <c r="E69" s="247" t="s">
        <v>213</v>
      </c>
      <c r="F69" s="247"/>
      <c r="G69" s="247"/>
      <c r="H69" s="247"/>
      <c r="I69" s="247"/>
      <c r="J69" s="247"/>
      <c r="K69" s="247"/>
      <c r="L69" s="247"/>
      <c r="M69" s="247"/>
      <c r="N69" s="247"/>
      <c r="O69" s="247"/>
      <c r="P69" s="247"/>
      <c r="Q69" s="247"/>
      <c r="R69" s="247"/>
      <c r="S69" s="247"/>
      <c r="T69" s="247"/>
      <c r="U69" s="247"/>
      <c r="V69" s="247"/>
      <c r="W69" s="247"/>
      <c r="AR69" s="177" t="n">
        <v>0</v>
      </c>
    </row>
    <row r="70" customFormat="false" ht="36.75" hidden="true" customHeight="true" outlineLevel="0" collapsed="false">
      <c r="E70" s="248" t="s">
        <v>214</v>
      </c>
      <c r="F70" s="248"/>
      <c r="G70" s="248"/>
      <c r="H70" s="248"/>
      <c r="I70" s="248"/>
      <c r="J70" s="248"/>
      <c r="K70" s="248"/>
      <c r="L70" s="248"/>
      <c r="M70" s="248"/>
      <c r="N70" s="248"/>
      <c r="O70" s="248"/>
      <c r="P70" s="248"/>
      <c r="Q70" s="248"/>
      <c r="R70" s="248"/>
      <c r="S70" s="248"/>
      <c r="T70" s="248"/>
      <c r="U70" s="248"/>
      <c r="V70" s="248"/>
      <c r="W70" s="248"/>
      <c r="AR70" s="177" t="n">
        <v>0</v>
      </c>
    </row>
    <row r="71" customFormat="false" ht="28.5" hidden="true" customHeight="true" outlineLevel="0" collapsed="false">
      <c r="E71" s="248" t="s">
        <v>215</v>
      </c>
      <c r="F71" s="248"/>
      <c r="G71" s="248"/>
      <c r="H71" s="248"/>
      <c r="I71" s="248"/>
      <c r="J71" s="248"/>
      <c r="K71" s="248"/>
      <c r="L71" s="248"/>
      <c r="M71" s="248"/>
      <c r="N71" s="248"/>
      <c r="O71" s="248"/>
      <c r="P71" s="248"/>
      <c r="Q71" s="248"/>
      <c r="R71" s="248"/>
      <c r="S71" s="248"/>
      <c r="T71" s="248"/>
      <c r="U71" s="248"/>
      <c r="V71" s="248"/>
      <c r="W71" s="248"/>
      <c r="AR71" s="177" t="n">
        <v>0</v>
      </c>
    </row>
    <row r="72" customFormat="false" ht="27" hidden="true" customHeight="true" outlineLevel="0" collapsed="false">
      <c r="E72" s="248" t="s">
        <v>216</v>
      </c>
      <c r="F72" s="248"/>
      <c r="G72" s="248"/>
      <c r="H72" s="248"/>
      <c r="I72" s="248"/>
      <c r="J72" s="248"/>
      <c r="K72" s="248"/>
      <c r="L72" s="248"/>
      <c r="M72" s="248"/>
      <c r="N72" s="248"/>
      <c r="O72" s="248"/>
      <c r="P72" s="248"/>
      <c r="Q72" s="248"/>
      <c r="R72" s="248"/>
      <c r="S72" s="248"/>
      <c r="T72" s="248"/>
      <c r="U72" s="248"/>
      <c r="V72" s="248"/>
      <c r="W72" s="248"/>
      <c r="AR72" s="177" t="n">
        <v>0</v>
      </c>
    </row>
    <row r="73" customFormat="false" ht="17.25" hidden="true" customHeight="true" outlineLevel="0" collapsed="false">
      <c r="E73" s="248" t="s">
        <v>217</v>
      </c>
      <c r="F73" s="248"/>
      <c r="G73" s="248"/>
      <c r="H73" s="248"/>
      <c r="I73" s="248"/>
      <c r="J73" s="248"/>
      <c r="K73" s="248"/>
      <c r="L73" s="248"/>
      <c r="M73" s="248"/>
      <c r="N73" s="248"/>
      <c r="O73" s="248"/>
      <c r="P73" s="248"/>
      <c r="Q73" s="248"/>
      <c r="R73" s="248"/>
      <c r="S73" s="248"/>
      <c r="T73" s="248"/>
      <c r="U73" s="248"/>
      <c r="V73" s="248"/>
      <c r="W73" s="248"/>
      <c r="AR73" s="177" t="n">
        <v>0</v>
      </c>
    </row>
    <row r="74" customFormat="false" ht="15" hidden="true" customHeight="true" outlineLevel="0" collapsed="false">
      <c r="E74" s="247"/>
      <c r="F74" s="247"/>
      <c r="G74" s="249"/>
      <c r="H74" s="249"/>
      <c r="I74" s="249"/>
      <c r="J74" s="249"/>
      <c r="K74" s="249"/>
      <c r="L74" s="249"/>
      <c r="M74" s="249"/>
      <c r="N74" s="249"/>
      <c r="O74" s="249"/>
      <c r="P74" s="249"/>
      <c r="Q74" s="249"/>
      <c r="R74" s="249"/>
      <c r="S74" s="249"/>
      <c r="T74" s="249"/>
      <c r="U74" s="249"/>
      <c r="V74" s="249"/>
      <c r="W74" s="249"/>
      <c r="AR74" s="177" t="n">
        <v>0</v>
      </c>
    </row>
    <row r="75" customFormat="false" ht="15" hidden="true" customHeight="true" outlineLevel="0" collapsed="false">
      <c r="E75" s="247" t="s">
        <v>218</v>
      </c>
      <c r="F75" s="247"/>
      <c r="G75" s="247"/>
      <c r="H75" s="247"/>
      <c r="I75" s="247"/>
      <c r="J75" s="247"/>
      <c r="K75" s="247"/>
      <c r="L75" s="247"/>
      <c r="M75" s="247"/>
      <c r="N75" s="247"/>
      <c r="O75" s="247"/>
      <c r="P75" s="247"/>
      <c r="Q75" s="247"/>
      <c r="R75" s="247"/>
      <c r="S75" s="247"/>
      <c r="T75" s="247"/>
      <c r="U75" s="247"/>
      <c r="V75" s="247"/>
      <c r="W75" s="247"/>
      <c r="AR75" s="177" t="n">
        <v>0</v>
      </c>
    </row>
    <row r="76" customFormat="false" ht="17.25" hidden="true" customHeight="true" outlineLevel="0" collapsed="false">
      <c r="E76" s="248" t="s">
        <v>219</v>
      </c>
      <c r="F76" s="248"/>
      <c r="G76" s="248"/>
      <c r="H76" s="248"/>
      <c r="I76" s="248"/>
      <c r="J76" s="248"/>
      <c r="K76" s="248"/>
      <c r="L76" s="248"/>
      <c r="M76" s="248"/>
      <c r="N76" s="248"/>
      <c r="O76" s="248"/>
      <c r="P76" s="248"/>
      <c r="Q76" s="248"/>
      <c r="R76" s="248"/>
      <c r="S76" s="248"/>
      <c r="T76" s="248"/>
      <c r="U76" s="248"/>
      <c r="V76" s="248"/>
      <c r="W76" s="248"/>
      <c r="AR76" s="177" t="n">
        <v>0</v>
      </c>
    </row>
    <row r="77" customFormat="false" ht="17.25" hidden="true" customHeight="true" outlineLevel="0" collapsed="false">
      <c r="E77" s="248" t="s">
        <v>220</v>
      </c>
      <c r="F77" s="248"/>
      <c r="G77" s="248"/>
      <c r="H77" s="248"/>
      <c r="I77" s="248"/>
      <c r="J77" s="248"/>
      <c r="K77" s="248"/>
      <c r="L77" s="248"/>
      <c r="M77" s="248"/>
      <c r="N77" s="248"/>
      <c r="O77" s="248"/>
      <c r="P77" s="248"/>
      <c r="Q77" s="248"/>
      <c r="R77" s="248"/>
      <c r="S77" s="248"/>
      <c r="T77" s="248"/>
      <c r="U77" s="248"/>
      <c r="V77" s="248"/>
      <c r="W77" s="248"/>
      <c r="AR77" s="177" t="n">
        <v>0</v>
      </c>
    </row>
    <row r="78" s="177" customFormat="true" ht="11.25" hidden="true" customHeight="true" outlineLevel="0" collapsed="false">
      <c r="A78" s="122"/>
      <c r="B78" s="122"/>
      <c r="Y78" s="100"/>
      <c r="Z78" s="100"/>
      <c r="AA78" s="100"/>
      <c r="AB78" s="100"/>
      <c r="AC78" s="100"/>
      <c r="AD78" s="100"/>
      <c r="AE78" s="100"/>
      <c r="AF78" s="100"/>
      <c r="AG78" s="100"/>
      <c r="AH78" s="100"/>
      <c r="AI78" s="100"/>
      <c r="AJ78" s="100"/>
      <c r="AK78" s="100"/>
      <c r="AL78" s="100"/>
      <c r="AM78" s="100"/>
      <c r="AN78" s="100"/>
      <c r="AO78" s="100"/>
      <c r="AP78" s="100"/>
      <c r="AQ78" s="100"/>
      <c r="AR78" s="177" t="n">
        <v>0</v>
      </c>
    </row>
    <row r="79" s="177" customFormat="true" ht="17.25" hidden="true" customHeight="true" outlineLevel="0" collapsed="false">
      <c r="A79" s="227"/>
      <c r="C79" s="121"/>
      <c r="D79" s="228" t="n">
        <v>1</v>
      </c>
      <c r="E79" s="229" t="s">
        <v>221</v>
      </c>
      <c r="F79" s="230" t="s">
        <v>19</v>
      </c>
      <c r="G79" s="229"/>
      <c r="H79" s="231"/>
      <c r="I79" s="232"/>
      <c r="J79" s="233"/>
      <c r="K79" s="234"/>
      <c r="L79" s="234"/>
      <c r="M79" s="234"/>
      <c r="N79" s="235"/>
      <c r="O79" s="234"/>
      <c r="P79" s="234"/>
      <c r="Q79" s="234"/>
      <c r="R79" s="236"/>
      <c r="S79" s="234"/>
      <c r="T79" s="234"/>
      <c r="U79" s="234"/>
      <c r="V79" s="236"/>
      <c r="W79" s="237"/>
      <c r="Y79" s="238"/>
      <c r="Z79" s="238"/>
      <c r="AA79" s="238"/>
      <c r="AB79" s="238"/>
      <c r="AC79" s="238" t="s">
        <v>222</v>
      </c>
      <c r="AD79" s="238" t="s">
        <v>223</v>
      </c>
      <c r="AE79" s="238" t="s">
        <v>224</v>
      </c>
      <c r="AF79" s="238" t="s">
        <v>225</v>
      </c>
      <c r="AG79" s="238"/>
      <c r="AH79" s="238" t="str">
        <f aca="false">IF($E$79=0,"",$E$79)</f>
        <v>Тариф на питьевую воду (питьевое водоснабжение)</v>
      </c>
      <c r="AI79" s="238" t="str">
        <f aca="false">IF($G$79=0,"",$G$79)</f>
        <v/>
      </c>
      <c r="AJ79" s="238" t="str">
        <f aca="false">IF($J$79=0,"",$J$79)</f>
        <v/>
      </c>
      <c r="AK79" s="238" t="str">
        <f aca="false">IF($K$79="нет","без дифференциации",IF($N$79=0,"",$N$79))</f>
        <v/>
      </c>
      <c r="AL79" s="238" t="str">
        <f aca="false">IF($O$79="нет","без дифференциации",IF($R$79=0,"",$R$79))</f>
        <v/>
      </c>
      <c r="AM79" s="238" t="str">
        <f aca="false">IF($S$79="нет","без дифференциации",IF($V$79=0,"",$V$79))</f>
        <v/>
      </c>
      <c r="AN79" s="238" t="n">
        <f aca="false">$I$79</f>
        <v>0</v>
      </c>
      <c r="AO79" s="238" t="str">
        <f aca="false">$I$79&amp;"."&amp;$M$79</f>
        <v>.</v>
      </c>
      <c r="AP79" s="238" t="str">
        <f aca="false">$I$79&amp;"."&amp;$M$79&amp;"."&amp;$Q$79</f>
        <v>..</v>
      </c>
      <c r="AQ79" s="238" t="str">
        <f aca="false">$I$79&amp;"."&amp;$M$79&amp;"."&amp;$Q$79&amp;"."&amp;$U$79</f>
        <v>...</v>
      </c>
      <c r="AR79" s="177" t="n">
        <v>0</v>
      </c>
    </row>
    <row r="80" s="177" customFormat="true" ht="17.25" hidden="true" customHeight="true" outlineLevel="0" collapsed="false">
      <c r="A80" s="227"/>
      <c r="D80" s="228"/>
      <c r="E80" s="229"/>
      <c r="F80" s="230"/>
      <c r="G80" s="229"/>
      <c r="H80" s="231"/>
      <c r="I80" s="232"/>
      <c r="J80" s="233"/>
      <c r="K80" s="234"/>
      <c r="L80" s="234"/>
      <c r="M80" s="234"/>
      <c r="N80" s="235"/>
      <c r="O80" s="234"/>
      <c r="P80" s="234"/>
      <c r="Q80" s="234"/>
      <c r="R80" s="236"/>
      <c r="S80" s="234"/>
      <c r="T80" s="239"/>
      <c r="U80" s="239"/>
      <c r="V80" s="239"/>
      <c r="W80" s="240"/>
      <c r="Y80" s="100"/>
      <c r="Z80" s="100"/>
      <c r="AA80" s="100"/>
      <c r="AB80" s="100"/>
      <c r="AC80" s="100"/>
      <c r="AD80" s="100"/>
      <c r="AE80" s="100"/>
      <c r="AF80" s="100"/>
      <c r="AG80" s="100"/>
      <c r="AH80" s="100"/>
      <c r="AI80" s="100"/>
      <c r="AJ80" s="100"/>
      <c r="AK80" s="100"/>
      <c r="AL80" s="100"/>
      <c r="AM80" s="100"/>
      <c r="AN80" s="100"/>
      <c r="AO80" s="100"/>
      <c r="AP80" s="100"/>
      <c r="AQ80" s="100"/>
      <c r="AR80" s="177" t="n">
        <v>0</v>
      </c>
    </row>
    <row r="81" s="177" customFormat="true" ht="17.25" hidden="true" customHeight="true" outlineLevel="0" collapsed="false">
      <c r="A81" s="227"/>
      <c r="C81" s="121"/>
      <c r="D81" s="228"/>
      <c r="E81" s="229"/>
      <c r="F81" s="230"/>
      <c r="G81" s="229"/>
      <c r="H81" s="231"/>
      <c r="I81" s="232"/>
      <c r="J81" s="233"/>
      <c r="K81" s="234"/>
      <c r="L81" s="234"/>
      <c r="M81" s="234"/>
      <c r="N81" s="235"/>
      <c r="O81" s="234"/>
      <c r="P81" s="118"/>
      <c r="Q81" s="239"/>
      <c r="R81" s="239"/>
      <c r="W81" s="240"/>
      <c r="Y81" s="238"/>
      <c r="Z81" s="238"/>
      <c r="AA81" s="238"/>
      <c r="AB81" s="238"/>
      <c r="AC81" s="238"/>
      <c r="AD81" s="238"/>
      <c r="AE81" s="238"/>
      <c r="AF81" s="238"/>
      <c r="AG81" s="238"/>
      <c r="AH81" s="238"/>
      <c r="AI81" s="238"/>
      <c r="AJ81" s="238"/>
      <c r="AK81" s="238"/>
      <c r="AL81" s="238"/>
      <c r="AM81" s="238"/>
      <c r="AN81" s="238"/>
      <c r="AO81" s="238"/>
      <c r="AP81" s="238"/>
      <c r="AQ81" s="238"/>
      <c r="AR81" s="177" t="n">
        <v>0</v>
      </c>
    </row>
    <row r="82" s="177" customFormat="true" ht="17.25" hidden="true" customHeight="true" outlineLevel="0" collapsed="false">
      <c r="A82" s="227"/>
      <c r="D82" s="228"/>
      <c r="E82" s="229"/>
      <c r="F82" s="230"/>
      <c r="G82" s="229"/>
      <c r="H82" s="231"/>
      <c r="I82" s="232"/>
      <c r="J82" s="233"/>
      <c r="K82" s="234"/>
      <c r="L82" s="239"/>
      <c r="M82" s="239"/>
      <c r="N82" s="239"/>
      <c r="O82" s="239"/>
      <c r="P82" s="239"/>
      <c r="Q82" s="239"/>
      <c r="R82" s="239"/>
      <c r="W82" s="240"/>
      <c r="Y82" s="100"/>
      <c r="Z82" s="100"/>
      <c r="AA82" s="100"/>
      <c r="AB82" s="100"/>
      <c r="AC82" s="100"/>
      <c r="AD82" s="100"/>
      <c r="AE82" s="100"/>
      <c r="AF82" s="100"/>
      <c r="AG82" s="100"/>
      <c r="AH82" s="100"/>
      <c r="AI82" s="100"/>
      <c r="AJ82" s="100"/>
      <c r="AK82" s="100"/>
      <c r="AL82" s="100"/>
      <c r="AM82" s="100"/>
      <c r="AN82" s="100"/>
      <c r="AO82" s="100"/>
      <c r="AP82" s="100"/>
      <c r="AQ82" s="100"/>
      <c r="AR82" s="177" t="n">
        <v>0</v>
      </c>
    </row>
    <row r="83" s="177" customFormat="true" ht="17.25" hidden="true" customHeight="true" outlineLevel="0" collapsed="false">
      <c r="A83" s="227"/>
      <c r="D83" s="228"/>
      <c r="E83" s="229"/>
      <c r="F83" s="230"/>
      <c r="G83" s="229"/>
      <c r="H83" s="241"/>
      <c r="I83" s="242"/>
      <c r="J83" s="242"/>
      <c r="K83" s="242"/>
      <c r="L83" s="242"/>
      <c r="M83" s="242"/>
      <c r="N83" s="242"/>
      <c r="O83" s="242"/>
      <c r="P83" s="242"/>
      <c r="Q83" s="242"/>
      <c r="R83" s="242"/>
      <c r="S83" s="243"/>
      <c r="T83" s="243"/>
      <c r="U83" s="243"/>
      <c r="V83" s="243"/>
      <c r="W83" s="244"/>
      <c r="Y83" s="100"/>
      <c r="Z83" s="100"/>
      <c r="AA83" s="100"/>
      <c r="AB83" s="100"/>
      <c r="AC83" s="100"/>
      <c r="AD83" s="100"/>
      <c r="AE83" s="100"/>
      <c r="AF83" s="100"/>
      <c r="AG83" s="100"/>
      <c r="AH83" s="100"/>
      <c r="AI83" s="100"/>
      <c r="AJ83" s="100"/>
      <c r="AK83" s="100"/>
      <c r="AL83" s="100"/>
      <c r="AM83" s="100"/>
      <c r="AN83" s="100"/>
      <c r="AO83" s="100"/>
      <c r="AP83" s="100"/>
      <c r="AQ83" s="100"/>
      <c r="AR83" s="177" t="n">
        <v>0</v>
      </c>
    </row>
    <row r="84" s="177" customFormat="true" ht="17.25" hidden="true" customHeight="true" outlineLevel="0" collapsed="false">
      <c r="A84" s="227"/>
      <c r="C84" s="121"/>
      <c r="D84" s="228" t="n">
        <v>2</v>
      </c>
      <c r="E84" s="229" t="s">
        <v>226</v>
      </c>
      <c r="F84" s="230" t="s">
        <v>19</v>
      </c>
      <c r="G84" s="229"/>
      <c r="H84" s="231"/>
      <c r="I84" s="232"/>
      <c r="J84" s="233"/>
      <c r="K84" s="234"/>
      <c r="L84" s="234"/>
      <c r="M84" s="234"/>
      <c r="N84" s="235"/>
      <c r="O84" s="234"/>
      <c r="P84" s="234"/>
      <c r="Q84" s="234"/>
      <c r="R84" s="236"/>
      <c r="S84" s="234"/>
      <c r="T84" s="234"/>
      <c r="U84" s="234"/>
      <c r="V84" s="236"/>
      <c r="W84" s="237"/>
      <c r="X84" s="238"/>
      <c r="Y84" s="238"/>
      <c r="Z84" s="238"/>
      <c r="AA84" s="238"/>
      <c r="AB84" s="238"/>
      <c r="AC84" s="238" t="s">
        <v>227</v>
      </c>
      <c r="AD84" s="238" t="s">
        <v>228</v>
      </c>
      <c r="AE84" s="238" t="s">
        <v>229</v>
      </c>
      <c r="AF84" s="238" t="s">
        <v>230</v>
      </c>
      <c r="AG84" s="238"/>
      <c r="AH84" s="238" t="str">
        <f aca="false">IF($E$84=0,"",$E$84)</f>
        <v>Тариф на техническую воду</v>
      </c>
      <c r="AI84" s="238" t="str">
        <f aca="false">IF($G$84=0,"",$G$84)</f>
        <v/>
      </c>
      <c r="AJ84" s="238" t="str">
        <f aca="false">IF($J$84=0,"",$J$84)</f>
        <v/>
      </c>
      <c r="AK84" s="238" t="str">
        <f aca="false">IF($K$84="нет","без дифференциации",IF($N$84=0,"",$N$84))</f>
        <v/>
      </c>
      <c r="AL84" s="238" t="str">
        <f aca="false">IF($O$84="нет","без дифференциации",IF($R$84=0,"",$R$84))</f>
        <v/>
      </c>
      <c r="AM84" s="238" t="str">
        <f aca="false">IF($S$84="нет","без дифференциации",IF($V$84=0,"",$V$84))</f>
        <v/>
      </c>
      <c r="AN84" s="246" t="n">
        <f aca="false">$I$84</f>
        <v>0</v>
      </c>
      <c r="AO84" s="238" t="str">
        <f aca="false">$I$84&amp;"."&amp;$M$84</f>
        <v>.</v>
      </c>
      <c r="AP84" s="100" t="str">
        <f aca="false">$I$84&amp;"."&amp;$M$84&amp;"."&amp;$Q$84</f>
        <v>..</v>
      </c>
      <c r="AQ84" s="100" t="str">
        <f aca="false">$I$84&amp;"."&amp;$M$84&amp;"."&amp;$Q$84&amp;"."&amp;$U$84</f>
        <v>...</v>
      </c>
      <c r="AR84" s="177" t="n">
        <v>0</v>
      </c>
    </row>
    <row r="85" s="177" customFormat="true" ht="17.25" hidden="true" customHeight="true" outlineLevel="0" collapsed="false">
      <c r="A85" s="227"/>
      <c r="D85" s="228"/>
      <c r="E85" s="229"/>
      <c r="F85" s="230"/>
      <c r="G85" s="229"/>
      <c r="H85" s="231"/>
      <c r="I85" s="232"/>
      <c r="J85" s="233"/>
      <c r="K85" s="234"/>
      <c r="L85" s="234"/>
      <c r="M85" s="234"/>
      <c r="N85" s="235"/>
      <c r="O85" s="234"/>
      <c r="P85" s="234"/>
      <c r="Q85" s="234"/>
      <c r="R85" s="236"/>
      <c r="S85" s="234"/>
      <c r="T85" s="239"/>
      <c r="U85" s="239"/>
      <c r="V85" s="239"/>
      <c r="W85" s="240"/>
      <c r="X85" s="100"/>
      <c r="Y85" s="100"/>
      <c r="Z85" s="100"/>
      <c r="AA85" s="100"/>
      <c r="AB85" s="100"/>
      <c r="AC85" s="100"/>
      <c r="AD85" s="100"/>
      <c r="AE85" s="100"/>
      <c r="AF85" s="100"/>
      <c r="AG85" s="100"/>
      <c r="AH85" s="100"/>
      <c r="AI85" s="100"/>
      <c r="AJ85" s="100"/>
      <c r="AK85" s="100"/>
      <c r="AL85" s="100"/>
      <c r="AM85" s="100"/>
      <c r="AN85" s="100"/>
      <c r="AO85" s="100"/>
      <c r="AP85" s="100"/>
      <c r="AQ85" s="100"/>
      <c r="AR85" s="177" t="n">
        <v>0</v>
      </c>
    </row>
    <row r="86" s="177" customFormat="true" ht="17.25" hidden="true" customHeight="true" outlineLevel="0" collapsed="false">
      <c r="A86" s="227"/>
      <c r="D86" s="228"/>
      <c r="E86" s="229"/>
      <c r="F86" s="230"/>
      <c r="G86" s="229"/>
      <c r="H86" s="231"/>
      <c r="I86" s="232"/>
      <c r="J86" s="233"/>
      <c r="K86" s="234"/>
      <c r="L86" s="234"/>
      <c r="M86" s="234"/>
      <c r="N86" s="235"/>
      <c r="O86" s="234"/>
      <c r="P86" s="118"/>
      <c r="Q86" s="239"/>
      <c r="R86" s="239"/>
      <c r="W86" s="240"/>
      <c r="X86" s="100"/>
      <c r="Y86" s="100"/>
      <c r="Z86" s="100"/>
      <c r="AA86" s="100"/>
      <c r="AB86" s="100"/>
      <c r="AC86" s="100"/>
      <c r="AD86" s="100"/>
      <c r="AE86" s="100"/>
      <c r="AF86" s="100"/>
      <c r="AG86" s="100"/>
      <c r="AH86" s="100"/>
      <c r="AI86" s="100"/>
      <c r="AJ86" s="100"/>
      <c r="AK86" s="100"/>
      <c r="AL86" s="100"/>
      <c r="AM86" s="100"/>
      <c r="AN86" s="100"/>
      <c r="AO86" s="100"/>
      <c r="AP86" s="100"/>
      <c r="AQ86" s="100"/>
      <c r="AR86" s="177" t="n">
        <v>0</v>
      </c>
    </row>
    <row r="87" s="177" customFormat="true" ht="17.25" hidden="true" customHeight="true" outlineLevel="0" collapsed="false">
      <c r="A87" s="227"/>
      <c r="D87" s="228"/>
      <c r="E87" s="229"/>
      <c r="F87" s="230"/>
      <c r="G87" s="229"/>
      <c r="H87" s="231"/>
      <c r="I87" s="232"/>
      <c r="J87" s="233"/>
      <c r="K87" s="234"/>
      <c r="L87" s="239"/>
      <c r="M87" s="239"/>
      <c r="N87" s="239"/>
      <c r="O87" s="239"/>
      <c r="P87" s="239"/>
      <c r="Q87" s="239"/>
      <c r="R87" s="239"/>
      <c r="W87" s="240"/>
      <c r="X87" s="100"/>
      <c r="Y87" s="100"/>
      <c r="Z87" s="100"/>
      <c r="AA87" s="100"/>
      <c r="AB87" s="100"/>
      <c r="AC87" s="100"/>
      <c r="AD87" s="100"/>
      <c r="AE87" s="100"/>
      <c r="AF87" s="100"/>
      <c r="AG87" s="100"/>
      <c r="AH87" s="100"/>
      <c r="AI87" s="100"/>
      <c r="AJ87" s="100"/>
      <c r="AK87" s="100"/>
      <c r="AL87" s="100"/>
      <c r="AM87" s="100"/>
      <c r="AN87" s="100"/>
      <c r="AO87" s="100"/>
      <c r="AP87" s="100"/>
      <c r="AQ87" s="100"/>
      <c r="AR87" s="177" t="n">
        <v>0</v>
      </c>
    </row>
    <row r="88" s="177" customFormat="true" ht="17.25" hidden="true" customHeight="true" outlineLevel="0" collapsed="false">
      <c r="A88" s="227"/>
      <c r="D88" s="228"/>
      <c r="E88" s="229"/>
      <c r="F88" s="230"/>
      <c r="G88" s="229"/>
      <c r="H88" s="241"/>
      <c r="I88" s="242"/>
      <c r="J88" s="242"/>
      <c r="K88" s="242"/>
      <c r="L88" s="242"/>
      <c r="M88" s="242"/>
      <c r="N88" s="242"/>
      <c r="O88" s="242"/>
      <c r="P88" s="242"/>
      <c r="Q88" s="242"/>
      <c r="R88" s="242"/>
      <c r="S88" s="243"/>
      <c r="T88" s="243"/>
      <c r="U88" s="243"/>
      <c r="V88" s="243"/>
      <c r="W88" s="244"/>
      <c r="X88" s="100"/>
      <c r="Y88" s="100"/>
      <c r="Z88" s="100"/>
      <c r="AA88" s="100"/>
      <c r="AB88" s="100"/>
      <c r="AC88" s="100"/>
      <c r="AD88" s="100"/>
      <c r="AE88" s="100"/>
      <c r="AF88" s="100"/>
      <c r="AG88" s="100"/>
      <c r="AH88" s="100"/>
      <c r="AI88" s="100"/>
      <c r="AJ88" s="100"/>
      <c r="AK88" s="100"/>
      <c r="AL88" s="100"/>
      <c r="AM88" s="100"/>
      <c r="AN88" s="100"/>
      <c r="AO88" s="100"/>
      <c r="AP88" s="100"/>
      <c r="AQ88" s="100"/>
      <c r="AR88" s="177" t="n">
        <v>0</v>
      </c>
    </row>
    <row r="89" s="177" customFormat="true" ht="17.25" hidden="true" customHeight="true" outlineLevel="0" collapsed="false">
      <c r="A89" s="227"/>
      <c r="C89" s="121"/>
      <c r="D89" s="228" t="n">
        <v>3</v>
      </c>
      <c r="E89" s="229" t="s">
        <v>231</v>
      </c>
      <c r="F89" s="230" t="s">
        <v>19</v>
      </c>
      <c r="G89" s="229"/>
      <c r="H89" s="231"/>
      <c r="I89" s="232"/>
      <c r="J89" s="233"/>
      <c r="K89" s="234"/>
      <c r="L89" s="234"/>
      <c r="M89" s="234"/>
      <c r="N89" s="235"/>
      <c r="O89" s="234"/>
      <c r="P89" s="234"/>
      <c r="Q89" s="234"/>
      <c r="R89" s="236"/>
      <c r="S89" s="234"/>
      <c r="T89" s="234"/>
      <c r="U89" s="234"/>
      <c r="V89" s="236"/>
      <c r="W89" s="237"/>
      <c r="X89" s="238"/>
      <c r="Y89" s="238"/>
      <c r="Z89" s="238"/>
      <c r="AA89" s="238"/>
      <c r="AB89" s="238"/>
      <c r="AC89" s="238" t="s">
        <v>232</v>
      </c>
      <c r="AD89" s="238" t="s">
        <v>233</v>
      </c>
      <c r="AE89" s="238" t="s">
        <v>234</v>
      </c>
      <c r="AF89" s="238" t="s">
        <v>235</v>
      </c>
      <c r="AG89" s="238"/>
      <c r="AH89" s="238" t="str">
        <f aca="false">IF($E$89=0,"",$E$89)</f>
        <v>Тариф на транспортировку воды</v>
      </c>
      <c r="AI89" s="238" t="str">
        <f aca="false">IF($G$89=0,"",$G$89)</f>
        <v/>
      </c>
      <c r="AJ89" s="238" t="str">
        <f aca="false">IF($J$89=0,"",$J$89)</f>
        <v/>
      </c>
      <c r="AK89" s="238" t="str">
        <f aca="false">IF($K$89="нет","без дифференциации",IF($N$89=0,"",$N$89))</f>
        <v/>
      </c>
      <c r="AL89" s="238" t="str">
        <f aca="false">IF($O$89="нет","без дифференциации",IF($R$89=0,"",$R$89))</f>
        <v/>
      </c>
      <c r="AM89" s="238" t="str">
        <f aca="false">IF($S$89="нет","без дифференциации",IF($V$89=0,"",$V$89))</f>
        <v/>
      </c>
      <c r="AN89" s="246" t="n">
        <f aca="false">$I$89</f>
        <v>0</v>
      </c>
      <c r="AO89" s="238" t="str">
        <f aca="false">$I$89&amp;"."&amp;$M$89</f>
        <v>.</v>
      </c>
      <c r="AP89" s="100" t="str">
        <f aca="false">$I$89&amp;"."&amp;$M$89&amp;"."&amp;$Q$89</f>
        <v>..</v>
      </c>
      <c r="AQ89" s="100" t="str">
        <f aca="false">$I$89&amp;"."&amp;$M$89&amp;"."&amp;$Q$89&amp;"."&amp;$U$89</f>
        <v>...</v>
      </c>
      <c r="AR89" s="177" t="n">
        <v>0</v>
      </c>
    </row>
    <row r="90" s="177" customFormat="true" ht="17.25" hidden="true" customHeight="true" outlineLevel="0" collapsed="false">
      <c r="A90" s="227"/>
      <c r="D90" s="228"/>
      <c r="E90" s="229"/>
      <c r="F90" s="230"/>
      <c r="G90" s="229"/>
      <c r="H90" s="231"/>
      <c r="I90" s="232"/>
      <c r="J90" s="233"/>
      <c r="K90" s="234"/>
      <c r="L90" s="234"/>
      <c r="M90" s="234"/>
      <c r="N90" s="235"/>
      <c r="O90" s="234"/>
      <c r="P90" s="234"/>
      <c r="Q90" s="234"/>
      <c r="R90" s="236"/>
      <c r="S90" s="234"/>
      <c r="T90" s="239"/>
      <c r="U90" s="239"/>
      <c r="V90" s="239"/>
      <c r="W90" s="240"/>
      <c r="X90" s="100"/>
      <c r="Y90" s="100"/>
      <c r="Z90" s="100"/>
      <c r="AA90" s="100"/>
      <c r="AB90" s="100"/>
      <c r="AC90" s="100"/>
      <c r="AD90" s="100"/>
      <c r="AE90" s="100"/>
      <c r="AF90" s="100"/>
      <c r="AG90" s="100"/>
      <c r="AH90" s="100"/>
      <c r="AI90" s="100"/>
      <c r="AJ90" s="100"/>
      <c r="AK90" s="100"/>
      <c r="AL90" s="100"/>
      <c r="AM90" s="100"/>
      <c r="AN90" s="100"/>
      <c r="AO90" s="100"/>
      <c r="AP90" s="100"/>
      <c r="AQ90" s="100"/>
      <c r="AR90" s="177" t="n">
        <v>0</v>
      </c>
    </row>
    <row r="91" s="177" customFormat="true" ht="17.25" hidden="true" customHeight="true" outlineLevel="0" collapsed="false">
      <c r="A91" s="227"/>
      <c r="D91" s="228"/>
      <c r="E91" s="229"/>
      <c r="F91" s="230"/>
      <c r="G91" s="229"/>
      <c r="H91" s="231"/>
      <c r="I91" s="232"/>
      <c r="J91" s="233"/>
      <c r="K91" s="234"/>
      <c r="L91" s="234"/>
      <c r="M91" s="234"/>
      <c r="N91" s="235"/>
      <c r="O91" s="234"/>
      <c r="P91" s="118"/>
      <c r="Q91" s="239"/>
      <c r="R91" s="239"/>
      <c r="W91" s="240"/>
      <c r="X91" s="100"/>
      <c r="Y91" s="100"/>
      <c r="Z91" s="100"/>
      <c r="AA91" s="100"/>
      <c r="AB91" s="100"/>
      <c r="AC91" s="100"/>
      <c r="AD91" s="100"/>
      <c r="AE91" s="100"/>
      <c r="AF91" s="100"/>
      <c r="AG91" s="100"/>
      <c r="AH91" s="100"/>
      <c r="AI91" s="100"/>
      <c r="AJ91" s="100"/>
      <c r="AK91" s="100"/>
      <c r="AL91" s="100"/>
      <c r="AM91" s="100"/>
      <c r="AN91" s="100"/>
      <c r="AO91" s="100"/>
      <c r="AP91" s="100"/>
      <c r="AQ91" s="100"/>
      <c r="AR91" s="177" t="n">
        <v>0</v>
      </c>
    </row>
    <row r="92" s="177" customFormat="true" ht="17.25" hidden="true" customHeight="true" outlineLevel="0" collapsed="false">
      <c r="A92" s="227"/>
      <c r="D92" s="228"/>
      <c r="E92" s="229"/>
      <c r="F92" s="230"/>
      <c r="G92" s="229"/>
      <c r="H92" s="231"/>
      <c r="I92" s="232"/>
      <c r="J92" s="233"/>
      <c r="K92" s="234"/>
      <c r="L92" s="239"/>
      <c r="M92" s="239"/>
      <c r="N92" s="239"/>
      <c r="O92" s="239"/>
      <c r="P92" s="239"/>
      <c r="Q92" s="239"/>
      <c r="R92" s="239"/>
      <c r="W92" s="240"/>
      <c r="X92" s="100"/>
      <c r="Y92" s="100"/>
      <c r="Z92" s="100"/>
      <c r="AA92" s="100"/>
      <c r="AB92" s="100"/>
      <c r="AC92" s="100"/>
      <c r="AD92" s="100"/>
      <c r="AE92" s="100"/>
      <c r="AF92" s="100"/>
      <c r="AG92" s="100"/>
      <c r="AH92" s="100"/>
      <c r="AI92" s="100"/>
      <c r="AJ92" s="100"/>
      <c r="AK92" s="100"/>
      <c r="AL92" s="100"/>
      <c r="AM92" s="100"/>
      <c r="AN92" s="100"/>
      <c r="AO92" s="100"/>
      <c r="AP92" s="100"/>
      <c r="AQ92" s="100"/>
      <c r="AR92" s="177" t="n">
        <v>0</v>
      </c>
    </row>
    <row r="93" s="177" customFormat="true" ht="17.25" hidden="true" customHeight="true" outlineLevel="0" collapsed="false">
      <c r="A93" s="227"/>
      <c r="D93" s="228"/>
      <c r="E93" s="229"/>
      <c r="F93" s="230"/>
      <c r="G93" s="229"/>
      <c r="H93" s="241"/>
      <c r="I93" s="242"/>
      <c r="J93" s="242"/>
      <c r="K93" s="242"/>
      <c r="L93" s="242"/>
      <c r="M93" s="242"/>
      <c r="N93" s="242"/>
      <c r="O93" s="242"/>
      <c r="P93" s="242"/>
      <c r="Q93" s="242"/>
      <c r="R93" s="242"/>
      <c r="S93" s="243"/>
      <c r="T93" s="243"/>
      <c r="U93" s="243"/>
      <c r="V93" s="243"/>
      <c r="W93" s="244"/>
      <c r="X93" s="100"/>
      <c r="Y93" s="100"/>
      <c r="Z93" s="100"/>
      <c r="AA93" s="100"/>
      <c r="AB93" s="100"/>
      <c r="AC93" s="100"/>
      <c r="AD93" s="100"/>
      <c r="AE93" s="100"/>
      <c r="AF93" s="100"/>
      <c r="AG93" s="100"/>
      <c r="AH93" s="100"/>
      <c r="AI93" s="100"/>
      <c r="AJ93" s="100"/>
      <c r="AK93" s="100"/>
      <c r="AL93" s="100"/>
      <c r="AM93" s="100"/>
      <c r="AN93" s="100"/>
      <c r="AO93" s="100"/>
      <c r="AP93" s="100"/>
      <c r="AQ93" s="100"/>
      <c r="AR93" s="177" t="n">
        <v>0</v>
      </c>
    </row>
    <row r="94" s="177" customFormat="true" ht="17.25" hidden="true" customHeight="true" outlineLevel="0" collapsed="false">
      <c r="A94" s="227"/>
      <c r="C94" s="121"/>
      <c r="D94" s="228" t="n">
        <v>4</v>
      </c>
      <c r="E94" s="229" t="s">
        <v>236</v>
      </c>
      <c r="F94" s="230" t="s">
        <v>19</v>
      </c>
      <c r="G94" s="229"/>
      <c r="H94" s="231"/>
      <c r="I94" s="232"/>
      <c r="J94" s="233"/>
      <c r="K94" s="234"/>
      <c r="L94" s="234"/>
      <c r="M94" s="234"/>
      <c r="N94" s="235"/>
      <c r="O94" s="234"/>
      <c r="P94" s="234"/>
      <c r="Q94" s="234"/>
      <c r="R94" s="236"/>
      <c r="S94" s="234"/>
      <c r="T94" s="234"/>
      <c r="U94" s="234"/>
      <c r="V94" s="236"/>
      <c r="W94" s="237"/>
      <c r="X94" s="238"/>
      <c r="Y94" s="238"/>
      <c r="Z94" s="238"/>
      <c r="AA94" s="238"/>
      <c r="AB94" s="238"/>
      <c r="AC94" s="238" t="s">
        <v>237</v>
      </c>
      <c r="AD94" s="238" t="s">
        <v>238</v>
      </c>
      <c r="AE94" s="238" t="s">
        <v>239</v>
      </c>
      <c r="AF94" s="238" t="s">
        <v>240</v>
      </c>
      <c r="AG94" s="238"/>
      <c r="AH94" s="238" t="str">
        <f aca="false">IF($E$94=0,"",$E$94)</f>
        <v>Тариф на подвоз воды</v>
      </c>
      <c r="AI94" s="238" t="str">
        <f aca="false">IF($G$94=0,"",$G$94)</f>
        <v/>
      </c>
      <c r="AJ94" s="238" t="str">
        <f aca="false">IF($J$94=0,"",$J$94)</f>
        <v/>
      </c>
      <c r="AK94" s="238" t="str">
        <f aca="false">IF($K$94="нет","без дифференциации",IF($N$94=0,"",$N$94))</f>
        <v/>
      </c>
      <c r="AL94" s="238" t="str">
        <f aca="false">IF($O$94="нет","без дифференциации",IF($R$94=0,"",$R$94))</f>
        <v/>
      </c>
      <c r="AM94" s="238" t="str">
        <f aca="false">IF($S$94="нет","без дифференциации",IF($V$94=0,"",$V$94))</f>
        <v/>
      </c>
      <c r="AN94" s="246" t="n">
        <f aca="false">$I$94</f>
        <v>0</v>
      </c>
      <c r="AO94" s="238" t="str">
        <f aca="false">$I$94&amp;"."&amp;$M$94</f>
        <v>.</v>
      </c>
      <c r="AP94" s="100" t="str">
        <f aca="false">$I$94&amp;"."&amp;$M$94&amp;"."&amp;$Q$94</f>
        <v>..</v>
      </c>
      <c r="AQ94" s="100" t="str">
        <f aca="false">$I$94&amp;"."&amp;$M$94&amp;"."&amp;$Q$94&amp;"."&amp;$U$94</f>
        <v>...</v>
      </c>
      <c r="AR94" s="177" t="n">
        <v>0</v>
      </c>
    </row>
    <row r="95" s="177" customFormat="true" ht="17.25" hidden="true" customHeight="true" outlineLevel="0" collapsed="false">
      <c r="A95" s="227"/>
      <c r="D95" s="228"/>
      <c r="E95" s="229"/>
      <c r="F95" s="230"/>
      <c r="G95" s="229"/>
      <c r="H95" s="231"/>
      <c r="I95" s="232"/>
      <c r="J95" s="233"/>
      <c r="K95" s="234"/>
      <c r="L95" s="234"/>
      <c r="M95" s="234"/>
      <c r="N95" s="235"/>
      <c r="O95" s="234"/>
      <c r="P95" s="234"/>
      <c r="Q95" s="234"/>
      <c r="R95" s="236"/>
      <c r="S95" s="234"/>
      <c r="T95" s="239"/>
      <c r="U95" s="239"/>
      <c r="V95" s="239"/>
      <c r="W95" s="240"/>
      <c r="X95" s="100"/>
      <c r="Y95" s="100"/>
      <c r="Z95" s="100"/>
      <c r="AA95" s="100"/>
      <c r="AB95" s="100"/>
      <c r="AC95" s="100"/>
      <c r="AD95" s="100"/>
      <c r="AE95" s="100"/>
      <c r="AF95" s="100"/>
      <c r="AG95" s="100"/>
      <c r="AH95" s="100"/>
      <c r="AI95" s="100"/>
      <c r="AJ95" s="100"/>
      <c r="AK95" s="100"/>
      <c r="AL95" s="100"/>
      <c r="AM95" s="100"/>
      <c r="AN95" s="100"/>
      <c r="AO95" s="100"/>
      <c r="AP95" s="100"/>
      <c r="AQ95" s="100"/>
      <c r="AR95" s="177" t="n">
        <v>0</v>
      </c>
    </row>
    <row r="96" s="177" customFormat="true" ht="17.25" hidden="true" customHeight="true" outlineLevel="0" collapsed="false">
      <c r="A96" s="227"/>
      <c r="D96" s="228"/>
      <c r="E96" s="229"/>
      <c r="F96" s="230"/>
      <c r="G96" s="229"/>
      <c r="H96" s="231"/>
      <c r="I96" s="232"/>
      <c r="J96" s="233"/>
      <c r="K96" s="234"/>
      <c r="L96" s="234"/>
      <c r="M96" s="234"/>
      <c r="N96" s="235"/>
      <c r="O96" s="234"/>
      <c r="P96" s="118"/>
      <c r="Q96" s="239"/>
      <c r="R96" s="239"/>
      <c r="W96" s="240"/>
      <c r="X96" s="100"/>
      <c r="Y96" s="100"/>
      <c r="Z96" s="100"/>
      <c r="AA96" s="100"/>
      <c r="AB96" s="100"/>
      <c r="AC96" s="100"/>
      <c r="AD96" s="100"/>
      <c r="AE96" s="100"/>
      <c r="AF96" s="100"/>
      <c r="AG96" s="100"/>
      <c r="AH96" s="100"/>
      <c r="AI96" s="100"/>
      <c r="AJ96" s="100"/>
      <c r="AK96" s="100"/>
      <c r="AL96" s="100"/>
      <c r="AM96" s="100"/>
      <c r="AN96" s="100"/>
      <c r="AO96" s="100"/>
      <c r="AP96" s="100"/>
      <c r="AQ96" s="100"/>
      <c r="AR96" s="177" t="n">
        <v>0</v>
      </c>
    </row>
    <row r="97" s="177" customFormat="true" ht="17.25" hidden="true" customHeight="true" outlineLevel="0" collapsed="false">
      <c r="A97" s="227"/>
      <c r="D97" s="228"/>
      <c r="E97" s="229"/>
      <c r="F97" s="230"/>
      <c r="G97" s="229"/>
      <c r="H97" s="231"/>
      <c r="I97" s="232"/>
      <c r="J97" s="233"/>
      <c r="K97" s="234"/>
      <c r="L97" s="239"/>
      <c r="M97" s="239"/>
      <c r="N97" s="239"/>
      <c r="O97" s="239"/>
      <c r="P97" s="239"/>
      <c r="Q97" s="239"/>
      <c r="R97" s="239"/>
      <c r="W97" s="240"/>
      <c r="X97" s="100"/>
      <c r="Y97" s="100"/>
      <c r="Z97" s="100"/>
      <c r="AA97" s="100"/>
      <c r="AB97" s="100"/>
      <c r="AC97" s="100"/>
      <c r="AD97" s="100"/>
      <c r="AE97" s="100"/>
      <c r="AF97" s="100"/>
      <c r="AG97" s="100"/>
      <c r="AH97" s="100"/>
      <c r="AI97" s="100"/>
      <c r="AJ97" s="100"/>
      <c r="AK97" s="100"/>
      <c r="AL97" s="100"/>
      <c r="AM97" s="100"/>
      <c r="AN97" s="100"/>
      <c r="AO97" s="100"/>
      <c r="AP97" s="100"/>
      <c r="AQ97" s="100"/>
      <c r="AR97" s="177" t="n">
        <v>0</v>
      </c>
    </row>
    <row r="98" s="177" customFormat="true" ht="17.25" hidden="true" customHeight="true" outlineLevel="0" collapsed="false">
      <c r="A98" s="227"/>
      <c r="D98" s="228"/>
      <c r="E98" s="229"/>
      <c r="F98" s="230"/>
      <c r="G98" s="229"/>
      <c r="H98" s="241"/>
      <c r="I98" s="242"/>
      <c r="J98" s="242"/>
      <c r="K98" s="242"/>
      <c r="L98" s="242"/>
      <c r="M98" s="242"/>
      <c r="N98" s="242"/>
      <c r="O98" s="242"/>
      <c r="P98" s="242"/>
      <c r="Q98" s="242"/>
      <c r="R98" s="242"/>
      <c r="S98" s="243"/>
      <c r="T98" s="243"/>
      <c r="U98" s="243"/>
      <c r="V98" s="243"/>
      <c r="W98" s="244"/>
      <c r="X98" s="100"/>
      <c r="Y98" s="100"/>
      <c r="Z98" s="100"/>
      <c r="AA98" s="100"/>
      <c r="AB98" s="100"/>
      <c r="AC98" s="100"/>
      <c r="AD98" s="100"/>
      <c r="AE98" s="100"/>
      <c r="AF98" s="100"/>
      <c r="AG98" s="100"/>
      <c r="AH98" s="100"/>
      <c r="AI98" s="100"/>
      <c r="AJ98" s="100"/>
      <c r="AK98" s="100"/>
      <c r="AL98" s="100"/>
      <c r="AM98" s="100"/>
      <c r="AN98" s="100"/>
      <c r="AO98" s="100"/>
      <c r="AP98" s="100"/>
      <c r="AQ98" s="100"/>
      <c r="AR98" s="177" t="n">
        <v>0</v>
      </c>
    </row>
    <row r="99" s="177" customFormat="true" ht="17.25" hidden="true" customHeight="true" outlineLevel="0" collapsed="false">
      <c r="A99" s="227"/>
      <c r="C99" s="121"/>
      <c r="D99" s="228" t="n">
        <v>5</v>
      </c>
      <c r="E99" s="229" t="s">
        <v>241</v>
      </c>
      <c r="F99" s="230" t="s">
        <v>19</v>
      </c>
      <c r="G99" s="229"/>
      <c r="H99" s="231"/>
      <c r="I99" s="232"/>
      <c r="J99" s="233"/>
      <c r="K99" s="234"/>
      <c r="L99" s="234"/>
      <c r="M99" s="234"/>
      <c r="N99" s="235"/>
      <c r="O99" s="234"/>
      <c r="P99" s="234"/>
      <c r="Q99" s="234"/>
      <c r="R99" s="236"/>
      <c r="S99" s="234"/>
      <c r="T99" s="234"/>
      <c r="U99" s="234"/>
      <c r="V99" s="236"/>
      <c r="W99" s="237"/>
      <c r="X99" s="238"/>
      <c r="Y99" s="238"/>
      <c r="Z99" s="238"/>
      <c r="AA99" s="238"/>
      <c r="AB99" s="238"/>
      <c r="AC99" s="238" t="s">
        <v>242</v>
      </c>
      <c r="AD99" s="238" t="s">
        <v>243</v>
      </c>
      <c r="AE99" s="238" t="s">
        <v>244</v>
      </c>
      <c r="AF99" s="238" t="s">
        <v>245</v>
      </c>
      <c r="AG99" s="238"/>
      <c r="AH99" s="238" t="str">
        <f aca="false">IF($E$99=0,"",$E$99)</f>
        <v>Тариф на подключение (технологическое присоединение) к централизованной системе холодного водоснабжения</v>
      </c>
      <c r="AI99" s="238" t="str">
        <f aca="false">IF($G$99=0,"",$G$99)</f>
        <v/>
      </c>
      <c r="AJ99" s="238" t="str">
        <f aca="false">IF($J$99=0,"",$J$99)</f>
        <v/>
      </c>
      <c r="AK99" s="238" t="str">
        <f aca="false">IF($K$99="нет","без дифференциации",IF($N$99=0,"",$N$99))</f>
        <v/>
      </c>
      <c r="AL99" s="238" t="str">
        <f aca="false">IF($O$99="нет","без дифференциации",IF($R$99=0,"",$R$99))</f>
        <v/>
      </c>
      <c r="AM99" s="238" t="str">
        <f aca="false">IF($S$99="нет","без дифференциации",IF($V$99=0,"",$V$99))</f>
        <v/>
      </c>
      <c r="AN99" s="246" t="n">
        <f aca="false">$I$99</f>
        <v>0</v>
      </c>
      <c r="AO99" s="238" t="str">
        <f aca="false">$I$99&amp;"."&amp;$M$99</f>
        <v>.</v>
      </c>
      <c r="AP99" s="100" t="str">
        <f aca="false">$I$99&amp;"."&amp;$M$99&amp;"."&amp;$Q$99</f>
        <v>..</v>
      </c>
      <c r="AQ99" s="100" t="str">
        <f aca="false">$I$99&amp;"."&amp;$M$99&amp;"."&amp;$Q$99&amp;"."&amp;$U$99</f>
        <v>...</v>
      </c>
      <c r="AR99" s="177" t="n">
        <v>0</v>
      </c>
    </row>
    <row r="100" s="177" customFormat="true" ht="17.25" hidden="true" customHeight="true" outlineLevel="0" collapsed="false">
      <c r="A100" s="227"/>
      <c r="D100" s="228"/>
      <c r="E100" s="229"/>
      <c r="F100" s="230"/>
      <c r="G100" s="229"/>
      <c r="H100" s="231"/>
      <c r="I100" s="232"/>
      <c r="J100" s="233"/>
      <c r="K100" s="234"/>
      <c r="L100" s="234"/>
      <c r="M100" s="234"/>
      <c r="N100" s="235"/>
      <c r="O100" s="234"/>
      <c r="P100" s="234"/>
      <c r="Q100" s="234"/>
      <c r="R100" s="236"/>
      <c r="S100" s="234"/>
      <c r="T100" s="239"/>
      <c r="U100" s="239"/>
      <c r="V100" s="239"/>
      <c r="W100" s="24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77" t="n">
        <v>0</v>
      </c>
    </row>
    <row r="101" s="177" customFormat="true" ht="17.25" hidden="true" customHeight="true" outlineLevel="0" collapsed="false">
      <c r="A101" s="227"/>
      <c r="D101" s="228"/>
      <c r="E101" s="229"/>
      <c r="F101" s="230"/>
      <c r="G101" s="229"/>
      <c r="H101" s="231"/>
      <c r="I101" s="232"/>
      <c r="J101" s="233"/>
      <c r="K101" s="234"/>
      <c r="L101" s="234"/>
      <c r="M101" s="234"/>
      <c r="N101" s="235"/>
      <c r="O101" s="234"/>
      <c r="P101" s="118"/>
      <c r="Q101" s="239"/>
      <c r="R101" s="239"/>
      <c r="W101" s="24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77" t="n">
        <v>0</v>
      </c>
    </row>
    <row r="102" s="177" customFormat="true" ht="17.25" hidden="true" customHeight="true" outlineLevel="0" collapsed="false">
      <c r="A102" s="227"/>
      <c r="D102" s="228"/>
      <c r="E102" s="229"/>
      <c r="F102" s="230"/>
      <c r="G102" s="229"/>
      <c r="H102" s="231"/>
      <c r="I102" s="232"/>
      <c r="J102" s="233"/>
      <c r="K102" s="234"/>
      <c r="L102" s="239"/>
      <c r="M102" s="239"/>
      <c r="N102" s="239"/>
      <c r="O102" s="239"/>
      <c r="P102" s="239"/>
      <c r="Q102" s="239"/>
      <c r="R102" s="239"/>
      <c r="W102" s="24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77" t="n">
        <v>0</v>
      </c>
    </row>
    <row r="103" s="177" customFormat="true" ht="17.25" hidden="true" customHeight="true" outlineLevel="0" collapsed="false">
      <c r="A103" s="227"/>
      <c r="D103" s="228"/>
      <c r="E103" s="229"/>
      <c r="F103" s="230"/>
      <c r="G103" s="229"/>
      <c r="H103" s="241"/>
      <c r="I103" s="242"/>
      <c r="J103" s="242"/>
      <c r="K103" s="242"/>
      <c r="L103" s="242"/>
      <c r="M103" s="242"/>
      <c r="N103" s="242"/>
      <c r="O103" s="242"/>
      <c r="P103" s="242"/>
      <c r="Q103" s="242"/>
      <c r="R103" s="242"/>
      <c r="S103" s="243"/>
      <c r="T103" s="243"/>
      <c r="U103" s="243"/>
      <c r="V103" s="243"/>
      <c r="W103" s="244"/>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77" t="n">
        <v>0</v>
      </c>
    </row>
    <row r="104" s="177" customFormat="true" ht="11.25" hidden="true" customHeight="true" outlineLevel="0" collapsed="false">
      <c r="A104" s="122"/>
      <c r="B104" s="122"/>
      <c r="Y104" s="100"/>
      <c r="Z104" s="100"/>
      <c r="AA104" s="100"/>
      <c r="AB104" s="100"/>
      <c r="AC104" s="100"/>
      <c r="AD104" s="100"/>
      <c r="AE104" s="100"/>
      <c r="AF104" s="100"/>
      <c r="AG104" s="100"/>
      <c r="AH104" s="100"/>
      <c r="AI104" s="100"/>
      <c r="AJ104" s="100"/>
      <c r="AK104" s="100"/>
      <c r="AL104" s="100"/>
      <c r="AM104" s="100"/>
      <c r="AN104" s="100"/>
      <c r="AO104" s="100"/>
      <c r="AP104" s="100"/>
      <c r="AQ104" s="100"/>
      <c r="AR104" s="177" t="n">
        <v>0</v>
      </c>
    </row>
    <row r="105" s="177" customFormat="true" ht="17.25" hidden="true" customHeight="true" outlineLevel="0" collapsed="false">
      <c r="A105" s="227"/>
      <c r="C105" s="121"/>
      <c r="D105" s="228" t="n">
        <v>1</v>
      </c>
      <c r="E105" s="229" t="s">
        <v>246</v>
      </c>
      <c r="F105" s="230" t="s">
        <v>19</v>
      </c>
      <c r="G105" s="229"/>
      <c r="H105" s="231"/>
      <c r="I105" s="232"/>
      <c r="J105" s="233"/>
      <c r="K105" s="234"/>
      <c r="L105" s="234"/>
      <c r="M105" s="234"/>
      <c r="N105" s="235"/>
      <c r="O105" s="234"/>
      <c r="P105" s="234"/>
      <c r="Q105" s="234"/>
      <c r="R105" s="236"/>
      <c r="S105" s="234"/>
      <c r="T105" s="234"/>
      <c r="U105" s="234"/>
      <c r="V105" s="236"/>
      <c r="W105" s="237"/>
      <c r="Y105" s="238"/>
      <c r="Z105" s="238"/>
      <c r="AA105" s="238"/>
      <c r="AB105" s="238"/>
      <c r="AC105" s="238" t="s">
        <v>247</v>
      </c>
      <c r="AD105" s="238" t="s">
        <v>248</v>
      </c>
      <c r="AE105" s="238" t="s">
        <v>249</v>
      </c>
      <c r="AF105" s="238" t="s">
        <v>250</v>
      </c>
      <c r="AG105" s="238"/>
      <c r="AH105" s="238" t="str">
        <f aca="false">IF($E$105=0,"",$E$105)</f>
        <v>Тариф на горячую воду (горячее водоснабжение)</v>
      </c>
      <c r="AI105" s="238" t="str">
        <f aca="false">IF($G$105=0,"",$G$105)</f>
        <v/>
      </c>
      <c r="AJ105" s="238" t="str">
        <f aca="false">IF($J$105=0,"",$J$105)</f>
        <v/>
      </c>
      <c r="AK105" s="238" t="str">
        <f aca="false">IF($K$105="нет","без дифференциации",IF($N$105=0,"",$N$105))</f>
        <v/>
      </c>
      <c r="AL105" s="238" t="str">
        <f aca="false">IF($O$105="нет","без дифференциации",IF($R$105=0,"",$R$105))</f>
        <v/>
      </c>
      <c r="AM105" s="238" t="str">
        <f aca="false">IF($S$105="нет","без дифференциации",IF($V$105=0,"",$V$105))</f>
        <v/>
      </c>
      <c r="AN105" s="238" t="n">
        <f aca="false">$I$105</f>
        <v>0</v>
      </c>
      <c r="AO105" s="238" t="str">
        <f aca="false">$I$105&amp;"."&amp;$M$105</f>
        <v>.</v>
      </c>
      <c r="AP105" s="238" t="str">
        <f aca="false">$I$105&amp;"."&amp;$M$105&amp;"."&amp;$Q$105</f>
        <v>..</v>
      </c>
      <c r="AQ105" s="238" t="str">
        <f aca="false">$I$105&amp;"."&amp;$M$105&amp;"."&amp;$Q$105&amp;"."&amp;$U$105</f>
        <v>...</v>
      </c>
      <c r="AR105" s="177" t="n">
        <v>0</v>
      </c>
    </row>
    <row r="106" s="177" customFormat="true" ht="17.25" hidden="true" customHeight="true" outlineLevel="0" collapsed="false">
      <c r="A106" s="227"/>
      <c r="D106" s="228"/>
      <c r="E106" s="229"/>
      <c r="F106" s="230"/>
      <c r="G106" s="229"/>
      <c r="H106" s="231"/>
      <c r="I106" s="232"/>
      <c r="J106" s="233"/>
      <c r="K106" s="234"/>
      <c r="L106" s="234"/>
      <c r="M106" s="234"/>
      <c r="N106" s="235"/>
      <c r="O106" s="234"/>
      <c r="P106" s="234"/>
      <c r="Q106" s="234"/>
      <c r="R106" s="236"/>
      <c r="S106" s="234"/>
      <c r="T106" s="239"/>
      <c r="U106" s="239"/>
      <c r="V106" s="239"/>
      <c r="W106" s="240"/>
      <c r="Y106" s="100"/>
      <c r="Z106" s="100"/>
      <c r="AA106" s="100"/>
      <c r="AB106" s="100"/>
      <c r="AC106" s="100"/>
      <c r="AD106" s="100"/>
      <c r="AE106" s="100"/>
      <c r="AF106" s="100"/>
      <c r="AG106" s="100"/>
      <c r="AH106" s="100"/>
      <c r="AI106" s="100"/>
      <c r="AJ106" s="100"/>
      <c r="AK106" s="100"/>
      <c r="AL106" s="100"/>
      <c r="AM106" s="100"/>
      <c r="AN106" s="100"/>
      <c r="AO106" s="100"/>
      <c r="AP106" s="100"/>
      <c r="AQ106" s="100"/>
      <c r="AR106" s="177" t="n">
        <v>0</v>
      </c>
    </row>
    <row r="107" s="177" customFormat="true" ht="17.25" hidden="true" customHeight="true" outlineLevel="0" collapsed="false">
      <c r="A107" s="227"/>
      <c r="C107" s="121"/>
      <c r="D107" s="228"/>
      <c r="E107" s="229"/>
      <c r="F107" s="230"/>
      <c r="G107" s="229"/>
      <c r="H107" s="231"/>
      <c r="I107" s="232"/>
      <c r="J107" s="233"/>
      <c r="K107" s="234"/>
      <c r="L107" s="234"/>
      <c r="M107" s="234"/>
      <c r="N107" s="235"/>
      <c r="O107" s="234"/>
      <c r="P107" s="118"/>
      <c r="Q107" s="239"/>
      <c r="R107" s="239"/>
      <c r="W107" s="240"/>
      <c r="Y107" s="238"/>
      <c r="Z107" s="238"/>
      <c r="AA107" s="238"/>
      <c r="AB107" s="238"/>
      <c r="AC107" s="238"/>
      <c r="AD107" s="238"/>
      <c r="AE107" s="238"/>
      <c r="AF107" s="238"/>
      <c r="AG107" s="238"/>
      <c r="AH107" s="238"/>
      <c r="AI107" s="238"/>
      <c r="AJ107" s="238"/>
      <c r="AK107" s="238"/>
      <c r="AL107" s="238"/>
      <c r="AM107" s="238"/>
      <c r="AN107" s="238"/>
      <c r="AO107" s="238"/>
      <c r="AP107" s="238"/>
      <c r="AQ107" s="238"/>
      <c r="AR107" s="177" t="n">
        <v>0</v>
      </c>
    </row>
    <row r="108" s="177" customFormat="true" ht="17.25" hidden="true" customHeight="true" outlineLevel="0" collapsed="false">
      <c r="A108" s="227"/>
      <c r="D108" s="228"/>
      <c r="E108" s="229"/>
      <c r="F108" s="230"/>
      <c r="G108" s="229"/>
      <c r="H108" s="231"/>
      <c r="I108" s="232"/>
      <c r="J108" s="233"/>
      <c r="K108" s="234"/>
      <c r="L108" s="239"/>
      <c r="M108" s="239"/>
      <c r="N108" s="239"/>
      <c r="O108" s="239"/>
      <c r="P108" s="239"/>
      <c r="Q108" s="239"/>
      <c r="R108" s="239"/>
      <c r="W108" s="240"/>
      <c r="Y108" s="100"/>
      <c r="Z108" s="100"/>
      <c r="AA108" s="100"/>
      <c r="AB108" s="100"/>
      <c r="AC108" s="100"/>
      <c r="AD108" s="100"/>
      <c r="AE108" s="100"/>
      <c r="AF108" s="100"/>
      <c r="AG108" s="100"/>
      <c r="AH108" s="100"/>
      <c r="AI108" s="100"/>
      <c r="AJ108" s="100"/>
      <c r="AK108" s="100"/>
      <c r="AL108" s="100"/>
      <c r="AM108" s="100"/>
      <c r="AN108" s="100"/>
      <c r="AO108" s="100"/>
      <c r="AP108" s="100"/>
      <c r="AQ108" s="100"/>
      <c r="AR108" s="177" t="n">
        <v>0</v>
      </c>
    </row>
    <row r="109" s="177" customFormat="true" ht="17.25" hidden="true" customHeight="true" outlineLevel="0" collapsed="false">
      <c r="A109" s="227"/>
      <c r="D109" s="228"/>
      <c r="E109" s="229"/>
      <c r="F109" s="230"/>
      <c r="G109" s="229"/>
      <c r="H109" s="241"/>
      <c r="I109" s="242"/>
      <c r="J109" s="242"/>
      <c r="K109" s="242"/>
      <c r="L109" s="242"/>
      <c r="M109" s="242"/>
      <c r="N109" s="242"/>
      <c r="O109" s="242"/>
      <c r="P109" s="242"/>
      <c r="Q109" s="242"/>
      <c r="R109" s="242"/>
      <c r="S109" s="243"/>
      <c r="T109" s="243"/>
      <c r="U109" s="243"/>
      <c r="V109" s="243"/>
      <c r="W109" s="244"/>
      <c r="Y109" s="100"/>
      <c r="Z109" s="100"/>
      <c r="AA109" s="100"/>
      <c r="AB109" s="100"/>
      <c r="AC109" s="100"/>
      <c r="AD109" s="100"/>
      <c r="AE109" s="100"/>
      <c r="AF109" s="100"/>
      <c r="AG109" s="100"/>
      <c r="AH109" s="100"/>
      <c r="AI109" s="100"/>
      <c r="AJ109" s="100"/>
      <c r="AK109" s="100"/>
      <c r="AL109" s="100"/>
      <c r="AM109" s="100"/>
      <c r="AN109" s="100"/>
      <c r="AO109" s="100"/>
      <c r="AP109" s="100"/>
      <c r="AQ109" s="100"/>
      <c r="AR109" s="177" t="n">
        <v>0</v>
      </c>
    </row>
    <row r="110" s="177" customFormat="true" ht="17.25" hidden="true" customHeight="true" outlineLevel="0" collapsed="false">
      <c r="A110" s="227"/>
      <c r="C110" s="121"/>
      <c r="D110" s="228" t="n">
        <v>2</v>
      </c>
      <c r="E110" s="229" t="s">
        <v>251</v>
      </c>
      <c r="F110" s="230" t="s">
        <v>19</v>
      </c>
      <c r="G110" s="229"/>
      <c r="H110" s="231"/>
      <c r="I110" s="232"/>
      <c r="J110" s="233"/>
      <c r="K110" s="234"/>
      <c r="L110" s="234"/>
      <c r="M110" s="234"/>
      <c r="N110" s="235"/>
      <c r="O110" s="234"/>
      <c r="P110" s="234"/>
      <c r="Q110" s="234"/>
      <c r="R110" s="236"/>
      <c r="S110" s="234"/>
      <c r="T110" s="234"/>
      <c r="U110" s="234"/>
      <c r="V110" s="236"/>
      <c r="W110" s="237"/>
      <c r="X110" s="238"/>
      <c r="Y110" s="238"/>
      <c r="Z110" s="238"/>
      <c r="AA110" s="238"/>
      <c r="AB110" s="238"/>
      <c r="AC110" s="238" t="s">
        <v>252</v>
      </c>
      <c r="AD110" s="238" t="s">
        <v>253</v>
      </c>
      <c r="AE110" s="238" t="s">
        <v>254</v>
      </c>
      <c r="AF110" s="238" t="s">
        <v>255</v>
      </c>
      <c r="AG110" s="238"/>
      <c r="AH110" s="238" t="str">
        <f aca="false">IF($E$110=0,"",$E$110)</f>
        <v>Тариф на транспортировку горячей воды</v>
      </c>
      <c r="AI110" s="238" t="str">
        <f aca="false">IF($G$110=0,"",$G$110)</f>
        <v/>
      </c>
      <c r="AJ110" s="238" t="str">
        <f aca="false">IF($J$110=0,"",$J$110)</f>
        <v/>
      </c>
      <c r="AK110" s="238" t="str">
        <f aca="false">IF($K$110="нет","без дифференциации",IF($N$110=0,"",$N$110))</f>
        <v/>
      </c>
      <c r="AL110" s="238" t="str">
        <f aca="false">IF($O$110="нет","без дифференциации",IF($R$110=0,"",$R$110))</f>
        <v/>
      </c>
      <c r="AM110" s="238" t="str">
        <f aca="false">IF($S$110="нет","без дифференциации",IF($V$110=0,"",$V$110))</f>
        <v/>
      </c>
      <c r="AN110" s="246" t="n">
        <f aca="false">$I$110</f>
        <v>0</v>
      </c>
      <c r="AO110" s="238" t="str">
        <f aca="false">$I$110&amp;"."&amp;$M$110</f>
        <v>.</v>
      </c>
      <c r="AP110" s="100" t="str">
        <f aca="false">$I$110&amp;"."&amp;$M$110&amp;"."&amp;$Q$110</f>
        <v>..</v>
      </c>
      <c r="AQ110" s="100" t="str">
        <f aca="false">$I$110&amp;"."&amp;$M$110&amp;"."&amp;$Q$110&amp;"."&amp;$U$110</f>
        <v>...</v>
      </c>
      <c r="AR110" s="177" t="n">
        <v>0</v>
      </c>
    </row>
    <row r="111" s="177" customFormat="true" ht="17.25" hidden="true" customHeight="true" outlineLevel="0" collapsed="false">
      <c r="A111" s="227"/>
      <c r="D111" s="228"/>
      <c r="E111" s="229"/>
      <c r="F111" s="230"/>
      <c r="G111" s="229"/>
      <c r="H111" s="231"/>
      <c r="I111" s="232"/>
      <c r="J111" s="233"/>
      <c r="K111" s="234"/>
      <c r="L111" s="234"/>
      <c r="M111" s="234"/>
      <c r="N111" s="235"/>
      <c r="O111" s="234"/>
      <c r="P111" s="234"/>
      <c r="Q111" s="234"/>
      <c r="R111" s="236"/>
      <c r="S111" s="234"/>
      <c r="T111" s="239"/>
      <c r="U111" s="239"/>
      <c r="V111" s="239"/>
      <c r="W111" s="24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77" t="n">
        <v>0</v>
      </c>
    </row>
    <row r="112" s="177" customFormat="true" ht="17.25" hidden="true" customHeight="true" outlineLevel="0" collapsed="false">
      <c r="A112" s="227"/>
      <c r="D112" s="228"/>
      <c r="E112" s="229"/>
      <c r="F112" s="230"/>
      <c r="G112" s="229"/>
      <c r="H112" s="231"/>
      <c r="I112" s="232"/>
      <c r="J112" s="233"/>
      <c r="K112" s="234"/>
      <c r="L112" s="234"/>
      <c r="M112" s="234"/>
      <c r="N112" s="235"/>
      <c r="O112" s="234"/>
      <c r="P112" s="118"/>
      <c r="Q112" s="239"/>
      <c r="R112" s="239"/>
      <c r="W112" s="24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77" t="n">
        <v>0</v>
      </c>
    </row>
    <row r="113" s="177" customFormat="true" ht="17.25" hidden="true" customHeight="true" outlineLevel="0" collapsed="false">
      <c r="A113" s="227"/>
      <c r="D113" s="228"/>
      <c r="E113" s="229"/>
      <c r="F113" s="230"/>
      <c r="G113" s="229"/>
      <c r="H113" s="231"/>
      <c r="I113" s="232"/>
      <c r="J113" s="233"/>
      <c r="K113" s="234"/>
      <c r="L113" s="239"/>
      <c r="M113" s="239"/>
      <c r="N113" s="239"/>
      <c r="O113" s="239"/>
      <c r="P113" s="239"/>
      <c r="Q113" s="239"/>
      <c r="R113" s="239"/>
      <c r="W113" s="24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77" t="n">
        <v>0</v>
      </c>
    </row>
    <row r="114" s="177" customFormat="true" ht="17.25" hidden="true" customHeight="true" outlineLevel="0" collapsed="false">
      <c r="A114" s="227"/>
      <c r="D114" s="228"/>
      <c r="E114" s="229"/>
      <c r="F114" s="230"/>
      <c r="G114" s="229"/>
      <c r="H114" s="241"/>
      <c r="I114" s="242"/>
      <c r="J114" s="242"/>
      <c r="K114" s="242"/>
      <c r="L114" s="242"/>
      <c r="M114" s="242"/>
      <c r="N114" s="242"/>
      <c r="O114" s="242"/>
      <c r="P114" s="242"/>
      <c r="Q114" s="242"/>
      <c r="R114" s="242"/>
      <c r="S114" s="243"/>
      <c r="T114" s="243"/>
      <c r="U114" s="243"/>
      <c r="V114" s="243"/>
      <c r="W114" s="244"/>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77" t="n">
        <v>0</v>
      </c>
    </row>
    <row r="115" s="177" customFormat="true" ht="17.25" hidden="true" customHeight="true" outlineLevel="0" collapsed="false">
      <c r="A115" s="227"/>
      <c r="C115" s="121"/>
      <c r="D115" s="228" t="n">
        <v>3</v>
      </c>
      <c r="E115" s="229" t="s">
        <v>256</v>
      </c>
      <c r="F115" s="230" t="s">
        <v>19</v>
      </c>
      <c r="G115" s="229"/>
      <c r="H115" s="231"/>
      <c r="I115" s="232"/>
      <c r="J115" s="233"/>
      <c r="K115" s="234"/>
      <c r="L115" s="234"/>
      <c r="M115" s="234"/>
      <c r="N115" s="235"/>
      <c r="O115" s="234"/>
      <c r="P115" s="234"/>
      <c r="Q115" s="234"/>
      <c r="R115" s="236"/>
      <c r="S115" s="234"/>
      <c r="T115" s="234"/>
      <c r="U115" s="234"/>
      <c r="V115" s="236"/>
      <c r="W115" s="237"/>
      <c r="X115" s="238"/>
      <c r="Y115" s="238"/>
      <c r="Z115" s="238"/>
      <c r="AA115" s="238"/>
      <c r="AB115" s="238"/>
      <c r="AC115" s="238" t="s">
        <v>257</v>
      </c>
      <c r="AD115" s="238" t="s">
        <v>258</v>
      </c>
      <c r="AE115" s="238" t="s">
        <v>259</v>
      </c>
      <c r="AF115" s="238" t="s">
        <v>260</v>
      </c>
      <c r="AG115" s="238"/>
      <c r="AH115" s="238" t="str">
        <f aca="false">IF($E$115=0,"",$E$115)</f>
        <v>Тариф на подключение (технологическое присоединение) к централизованной системе горячего водоснабжения</v>
      </c>
      <c r="AI115" s="238" t="str">
        <f aca="false">IF($G$115=0,"",$G$115)</f>
        <v/>
      </c>
      <c r="AJ115" s="238" t="str">
        <f aca="false">IF($J$115=0,"",$J$115)</f>
        <v/>
      </c>
      <c r="AK115" s="238" t="str">
        <f aca="false">IF($K$115="нет","без дифференциации",IF($N$115=0,"",$N$115))</f>
        <v/>
      </c>
      <c r="AL115" s="238" t="str">
        <f aca="false">IF($O$115="нет","без дифференциации",IF($R$115=0,"",$R$115))</f>
        <v/>
      </c>
      <c r="AM115" s="238" t="str">
        <f aca="false">IF($S$115="нет","без дифференциации",IF($V$115=0,"",$V$115))</f>
        <v/>
      </c>
      <c r="AN115" s="246" t="n">
        <f aca="false">$I$115</f>
        <v>0</v>
      </c>
      <c r="AO115" s="238" t="str">
        <f aca="false">$I$115&amp;"."&amp;$M$115</f>
        <v>.</v>
      </c>
      <c r="AP115" s="100" t="str">
        <f aca="false">$I$115&amp;"."&amp;$M$115&amp;"."&amp;$Q$115</f>
        <v>..</v>
      </c>
      <c r="AQ115" s="100" t="str">
        <f aca="false">$I$115&amp;"."&amp;$M$115&amp;"."&amp;$Q$115&amp;"."&amp;$U$115</f>
        <v>...</v>
      </c>
      <c r="AR115" s="177" t="n">
        <v>0</v>
      </c>
    </row>
    <row r="116" s="177" customFormat="true" ht="17.25" hidden="true" customHeight="true" outlineLevel="0" collapsed="false">
      <c r="A116" s="227"/>
      <c r="D116" s="228"/>
      <c r="E116" s="229"/>
      <c r="F116" s="230"/>
      <c r="G116" s="229"/>
      <c r="H116" s="231"/>
      <c r="I116" s="232"/>
      <c r="J116" s="233"/>
      <c r="K116" s="234"/>
      <c r="L116" s="234"/>
      <c r="M116" s="234"/>
      <c r="N116" s="235"/>
      <c r="O116" s="234"/>
      <c r="P116" s="234"/>
      <c r="Q116" s="234"/>
      <c r="R116" s="236"/>
      <c r="S116" s="234"/>
      <c r="T116" s="239"/>
      <c r="U116" s="239"/>
      <c r="V116" s="239"/>
      <c r="W116" s="24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77" t="n">
        <v>0</v>
      </c>
    </row>
    <row r="117" s="177" customFormat="true" ht="17.25" hidden="true" customHeight="true" outlineLevel="0" collapsed="false">
      <c r="A117" s="227"/>
      <c r="D117" s="228"/>
      <c r="E117" s="229"/>
      <c r="F117" s="230"/>
      <c r="G117" s="229"/>
      <c r="H117" s="231"/>
      <c r="I117" s="232"/>
      <c r="J117" s="233"/>
      <c r="K117" s="234"/>
      <c r="L117" s="234"/>
      <c r="M117" s="234"/>
      <c r="N117" s="235"/>
      <c r="O117" s="234"/>
      <c r="P117" s="118"/>
      <c r="Q117" s="239"/>
      <c r="R117" s="239"/>
      <c r="W117" s="24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77" t="n">
        <v>0</v>
      </c>
    </row>
    <row r="118" s="177" customFormat="true" ht="17.25" hidden="true" customHeight="true" outlineLevel="0" collapsed="false">
      <c r="A118" s="227"/>
      <c r="D118" s="228"/>
      <c r="E118" s="229"/>
      <c r="F118" s="230"/>
      <c r="G118" s="229"/>
      <c r="H118" s="231"/>
      <c r="I118" s="232"/>
      <c r="J118" s="233"/>
      <c r="K118" s="234"/>
      <c r="L118" s="239"/>
      <c r="M118" s="239"/>
      <c r="N118" s="239"/>
      <c r="O118" s="239"/>
      <c r="P118" s="239"/>
      <c r="Q118" s="239"/>
      <c r="R118" s="239"/>
      <c r="W118" s="24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77" t="n">
        <v>0</v>
      </c>
    </row>
    <row r="119" s="177" customFormat="true" ht="17.25" hidden="true" customHeight="true" outlineLevel="0" collapsed="false">
      <c r="A119" s="227"/>
      <c r="D119" s="228"/>
      <c r="E119" s="229"/>
      <c r="F119" s="230"/>
      <c r="G119" s="229"/>
      <c r="H119" s="241"/>
      <c r="I119" s="242"/>
      <c r="J119" s="242"/>
      <c r="K119" s="242"/>
      <c r="L119" s="242"/>
      <c r="M119" s="242"/>
      <c r="N119" s="242"/>
      <c r="O119" s="242"/>
      <c r="P119" s="242"/>
      <c r="Q119" s="242"/>
      <c r="R119" s="242"/>
      <c r="S119" s="243"/>
      <c r="T119" s="243"/>
      <c r="U119" s="243"/>
      <c r="V119" s="243"/>
      <c r="W119" s="244"/>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77" t="n">
        <v>0</v>
      </c>
    </row>
    <row r="120" s="177" customFormat="true" ht="11.25" hidden="true" customHeight="true" outlineLevel="0" collapsed="false">
      <c r="A120" s="122"/>
      <c r="B120" s="122"/>
      <c r="Y120" s="100"/>
      <c r="Z120" s="100"/>
      <c r="AA120" s="100"/>
      <c r="AB120" s="100"/>
      <c r="AC120" s="100"/>
      <c r="AD120" s="100"/>
      <c r="AE120" s="100"/>
      <c r="AF120" s="100"/>
      <c r="AG120" s="100"/>
      <c r="AH120" s="100"/>
      <c r="AI120" s="100"/>
      <c r="AJ120" s="100"/>
      <c r="AK120" s="100"/>
      <c r="AL120" s="100"/>
      <c r="AM120" s="100"/>
      <c r="AN120" s="100"/>
      <c r="AO120" s="100"/>
      <c r="AP120" s="100"/>
      <c r="AQ120" s="100"/>
      <c r="AR120" s="177" t="n">
        <v>0</v>
      </c>
    </row>
    <row r="121" s="177" customFormat="true" ht="17.25" hidden="true" customHeight="true" outlineLevel="0" collapsed="false">
      <c r="A121" s="227"/>
      <c r="C121" s="121"/>
      <c r="D121" s="228" t="n">
        <v>1</v>
      </c>
      <c r="E121" s="229" t="s">
        <v>261</v>
      </c>
      <c r="F121" s="230" t="s">
        <v>19</v>
      </c>
      <c r="G121" s="229"/>
      <c r="H121" s="231"/>
      <c r="I121" s="232"/>
      <c r="J121" s="233"/>
      <c r="K121" s="234"/>
      <c r="L121" s="234"/>
      <c r="M121" s="234"/>
      <c r="N121" s="235"/>
      <c r="O121" s="234"/>
      <c r="P121" s="234"/>
      <c r="Q121" s="234"/>
      <c r="R121" s="236"/>
      <c r="S121" s="234"/>
      <c r="T121" s="234"/>
      <c r="U121" s="234"/>
      <c r="V121" s="236"/>
      <c r="W121" s="237"/>
      <c r="Y121" s="238"/>
      <c r="Z121" s="238"/>
      <c r="AA121" s="238"/>
      <c r="AB121" s="238"/>
      <c r="AC121" s="238" t="s">
        <v>262</v>
      </c>
      <c r="AD121" s="238" t="s">
        <v>263</v>
      </c>
      <c r="AE121" s="238" t="s">
        <v>264</v>
      </c>
      <c r="AF121" s="238" t="s">
        <v>265</v>
      </c>
      <c r="AG121" s="238"/>
      <c r="AH121" s="238" t="str">
        <f aca="false">IF($E$121=0,"",$E$121)</f>
        <v>Тариф на водоотведение</v>
      </c>
      <c r="AI121" s="238" t="str">
        <f aca="false">IF($G$121=0,"",$G$121)</f>
        <v/>
      </c>
      <c r="AJ121" s="238" t="str">
        <f aca="false">IF($J$121=0,"",$J$121)</f>
        <v/>
      </c>
      <c r="AK121" s="238" t="str">
        <f aca="false">IF($K$121="нет","без дифференциации",IF($N$121=0,"",$N$121))</f>
        <v/>
      </c>
      <c r="AL121" s="238" t="str">
        <f aca="false">IF($O$121="нет","без дифференциации",IF($R$121=0,"",$R$121))</f>
        <v/>
      </c>
      <c r="AM121" s="238" t="str">
        <f aca="false">IF($S$121="нет","без дифференциации",IF($V$121=0,"",$V$121))</f>
        <v/>
      </c>
      <c r="AN121" s="238" t="n">
        <f aca="false">$I$121</f>
        <v>0</v>
      </c>
      <c r="AO121" s="238" t="str">
        <f aca="false">$I$121&amp;"."&amp;$M$121</f>
        <v>.</v>
      </c>
      <c r="AP121" s="238" t="str">
        <f aca="false">$I$121&amp;"."&amp;$M$121&amp;"."&amp;$Q$121</f>
        <v>..</v>
      </c>
      <c r="AQ121" s="238" t="str">
        <f aca="false">$I$121&amp;"."&amp;$M$121&amp;"."&amp;$Q$121&amp;"."&amp;$U$121</f>
        <v>...</v>
      </c>
      <c r="AR121" s="177" t="n">
        <v>0</v>
      </c>
    </row>
    <row r="122" s="177" customFormat="true" ht="17.25" hidden="true" customHeight="true" outlineLevel="0" collapsed="false">
      <c r="A122" s="227"/>
      <c r="D122" s="228"/>
      <c r="E122" s="229"/>
      <c r="F122" s="230"/>
      <c r="G122" s="229"/>
      <c r="H122" s="231"/>
      <c r="I122" s="232"/>
      <c r="J122" s="233"/>
      <c r="K122" s="234"/>
      <c r="L122" s="234"/>
      <c r="M122" s="234"/>
      <c r="N122" s="235"/>
      <c r="O122" s="234"/>
      <c r="P122" s="234"/>
      <c r="Q122" s="234"/>
      <c r="R122" s="236"/>
      <c r="S122" s="234"/>
      <c r="T122" s="239"/>
      <c r="U122" s="239"/>
      <c r="V122" s="239"/>
      <c r="W122" s="240"/>
      <c r="Y122" s="100"/>
      <c r="Z122" s="100"/>
      <c r="AA122" s="100"/>
      <c r="AB122" s="100"/>
      <c r="AC122" s="100"/>
      <c r="AD122" s="100"/>
      <c r="AE122" s="100"/>
      <c r="AF122" s="100"/>
      <c r="AG122" s="100"/>
      <c r="AH122" s="100"/>
      <c r="AI122" s="100"/>
      <c r="AJ122" s="100"/>
      <c r="AK122" s="100"/>
      <c r="AL122" s="100"/>
      <c r="AM122" s="100"/>
      <c r="AN122" s="100"/>
      <c r="AO122" s="100"/>
      <c r="AP122" s="100"/>
      <c r="AQ122" s="100"/>
      <c r="AR122" s="177" t="n">
        <v>0</v>
      </c>
    </row>
    <row r="123" s="177" customFormat="true" ht="17.25" hidden="true" customHeight="true" outlineLevel="0" collapsed="false">
      <c r="A123" s="227"/>
      <c r="C123" s="121"/>
      <c r="D123" s="228"/>
      <c r="E123" s="229"/>
      <c r="F123" s="230"/>
      <c r="G123" s="229"/>
      <c r="H123" s="231"/>
      <c r="I123" s="232"/>
      <c r="J123" s="233"/>
      <c r="K123" s="234"/>
      <c r="L123" s="234"/>
      <c r="M123" s="234"/>
      <c r="N123" s="235"/>
      <c r="O123" s="234"/>
      <c r="P123" s="118"/>
      <c r="Q123" s="239"/>
      <c r="R123" s="239"/>
      <c r="W123" s="240"/>
      <c r="Y123" s="238"/>
      <c r="Z123" s="238"/>
      <c r="AA123" s="238"/>
      <c r="AB123" s="238"/>
      <c r="AC123" s="238"/>
      <c r="AD123" s="238"/>
      <c r="AE123" s="238"/>
      <c r="AF123" s="238"/>
      <c r="AG123" s="238"/>
      <c r="AH123" s="238"/>
      <c r="AI123" s="238"/>
      <c r="AJ123" s="238"/>
      <c r="AK123" s="238"/>
      <c r="AL123" s="238"/>
      <c r="AM123" s="238"/>
      <c r="AN123" s="238"/>
      <c r="AO123" s="238"/>
      <c r="AP123" s="238"/>
      <c r="AQ123" s="238"/>
      <c r="AR123" s="177" t="n">
        <v>0</v>
      </c>
    </row>
    <row r="124" s="177" customFormat="true" ht="17.25" hidden="true" customHeight="true" outlineLevel="0" collapsed="false">
      <c r="A124" s="227"/>
      <c r="D124" s="228"/>
      <c r="E124" s="229"/>
      <c r="F124" s="230"/>
      <c r="G124" s="229"/>
      <c r="H124" s="231"/>
      <c r="I124" s="232"/>
      <c r="J124" s="233"/>
      <c r="K124" s="234"/>
      <c r="L124" s="239"/>
      <c r="M124" s="239"/>
      <c r="N124" s="239"/>
      <c r="O124" s="239"/>
      <c r="P124" s="239"/>
      <c r="Q124" s="239"/>
      <c r="R124" s="239"/>
      <c r="W124" s="240"/>
      <c r="Y124" s="100"/>
      <c r="Z124" s="100"/>
      <c r="AA124" s="100"/>
      <c r="AB124" s="100"/>
      <c r="AC124" s="100"/>
      <c r="AD124" s="100"/>
      <c r="AE124" s="100"/>
      <c r="AF124" s="100"/>
      <c r="AG124" s="100"/>
      <c r="AH124" s="100"/>
      <c r="AI124" s="100"/>
      <c r="AJ124" s="100"/>
      <c r="AK124" s="100"/>
      <c r="AL124" s="100"/>
      <c r="AM124" s="100"/>
      <c r="AN124" s="100"/>
      <c r="AO124" s="100"/>
      <c r="AP124" s="100"/>
      <c r="AQ124" s="100"/>
      <c r="AR124" s="177" t="n">
        <v>0</v>
      </c>
    </row>
    <row r="125" s="177" customFormat="true" ht="17.25" hidden="true" customHeight="true" outlineLevel="0" collapsed="false">
      <c r="A125" s="227"/>
      <c r="D125" s="228"/>
      <c r="E125" s="229"/>
      <c r="F125" s="230"/>
      <c r="G125" s="229"/>
      <c r="H125" s="241"/>
      <c r="I125" s="242"/>
      <c r="J125" s="242"/>
      <c r="K125" s="242"/>
      <c r="L125" s="242"/>
      <c r="M125" s="242"/>
      <c r="N125" s="242"/>
      <c r="O125" s="242"/>
      <c r="P125" s="242"/>
      <c r="Q125" s="242"/>
      <c r="R125" s="242"/>
      <c r="S125" s="243"/>
      <c r="T125" s="243"/>
      <c r="U125" s="243"/>
      <c r="V125" s="243"/>
      <c r="W125" s="244"/>
      <c r="Y125" s="100"/>
      <c r="Z125" s="100"/>
      <c r="AA125" s="100"/>
      <c r="AB125" s="100"/>
      <c r="AC125" s="100"/>
      <c r="AD125" s="100"/>
      <c r="AE125" s="100"/>
      <c r="AF125" s="100"/>
      <c r="AG125" s="100"/>
      <c r="AH125" s="100"/>
      <c r="AI125" s="100"/>
      <c r="AJ125" s="100"/>
      <c r="AK125" s="100"/>
      <c r="AL125" s="100"/>
      <c r="AM125" s="100"/>
      <c r="AN125" s="100"/>
      <c r="AO125" s="100"/>
      <c r="AP125" s="100"/>
      <c r="AQ125" s="100"/>
      <c r="AR125" s="177" t="n">
        <v>0</v>
      </c>
    </row>
    <row r="126" s="177" customFormat="true" ht="17.25" hidden="true" customHeight="true" outlineLevel="0" collapsed="false">
      <c r="A126" s="227"/>
      <c r="C126" s="121"/>
      <c r="D126" s="228" t="n">
        <v>2</v>
      </c>
      <c r="E126" s="229" t="s">
        <v>266</v>
      </c>
      <c r="F126" s="230" t="s">
        <v>19</v>
      </c>
      <c r="G126" s="229"/>
      <c r="H126" s="231"/>
      <c r="I126" s="232"/>
      <c r="J126" s="233"/>
      <c r="K126" s="234"/>
      <c r="L126" s="234"/>
      <c r="M126" s="234"/>
      <c r="N126" s="235"/>
      <c r="O126" s="234"/>
      <c r="P126" s="234"/>
      <c r="Q126" s="234"/>
      <c r="R126" s="236"/>
      <c r="S126" s="234"/>
      <c r="T126" s="234"/>
      <c r="U126" s="234"/>
      <c r="V126" s="236"/>
      <c r="W126" s="237"/>
      <c r="X126" s="238"/>
      <c r="Y126" s="238"/>
      <c r="Z126" s="238"/>
      <c r="AA126" s="238"/>
      <c r="AB126" s="238"/>
      <c r="AC126" s="238" t="s">
        <v>267</v>
      </c>
      <c r="AD126" s="238" t="s">
        <v>268</v>
      </c>
      <c r="AE126" s="238" t="s">
        <v>269</v>
      </c>
      <c r="AF126" s="238" t="s">
        <v>270</v>
      </c>
      <c r="AG126" s="238"/>
      <c r="AH126" s="238" t="str">
        <f aca="false">IF($E$126=0,"",$E$126)</f>
        <v>Тариф на транспортировку сточных вод</v>
      </c>
      <c r="AI126" s="238" t="str">
        <f aca="false">IF($G$126=0,"",$G$126)</f>
        <v/>
      </c>
      <c r="AJ126" s="238" t="str">
        <f aca="false">IF($J$126=0,"",$J$126)</f>
        <v/>
      </c>
      <c r="AK126" s="238" t="str">
        <f aca="false">IF($K$126="нет","без дифференциации",IF($N$126=0,"",$N$126))</f>
        <v/>
      </c>
      <c r="AL126" s="238" t="str">
        <f aca="false">IF($O$126="нет","без дифференциации",IF($R$126=0,"",$R$126))</f>
        <v/>
      </c>
      <c r="AM126" s="238" t="str">
        <f aca="false">IF($S$126="нет","без дифференциации",IF($V$126=0,"",$V$126))</f>
        <v/>
      </c>
      <c r="AN126" s="246" t="n">
        <f aca="false">$I$126</f>
        <v>0</v>
      </c>
      <c r="AO126" s="238" t="str">
        <f aca="false">$I$126&amp;"."&amp;$M$126</f>
        <v>.</v>
      </c>
      <c r="AP126" s="100" t="str">
        <f aca="false">$I$126&amp;"."&amp;$M$126&amp;"."&amp;$Q$126</f>
        <v>..</v>
      </c>
      <c r="AQ126" s="100" t="str">
        <f aca="false">$I$126&amp;"."&amp;$M$126&amp;"."&amp;$Q$126&amp;"."&amp;$U$126</f>
        <v>...</v>
      </c>
      <c r="AR126" s="177" t="n">
        <v>0</v>
      </c>
    </row>
    <row r="127" s="177" customFormat="true" ht="17.25" hidden="true" customHeight="true" outlineLevel="0" collapsed="false">
      <c r="A127" s="227"/>
      <c r="D127" s="228"/>
      <c r="E127" s="229"/>
      <c r="F127" s="230"/>
      <c r="G127" s="229"/>
      <c r="H127" s="231"/>
      <c r="I127" s="232"/>
      <c r="J127" s="233"/>
      <c r="K127" s="234"/>
      <c r="L127" s="234"/>
      <c r="M127" s="234"/>
      <c r="N127" s="235"/>
      <c r="O127" s="234"/>
      <c r="P127" s="234"/>
      <c r="Q127" s="234"/>
      <c r="R127" s="236"/>
      <c r="S127" s="234"/>
      <c r="T127" s="239"/>
      <c r="U127" s="239"/>
      <c r="V127" s="239"/>
      <c r="W127" s="24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77" t="n">
        <v>0</v>
      </c>
    </row>
    <row r="128" s="177" customFormat="true" ht="17.25" hidden="true" customHeight="true" outlineLevel="0" collapsed="false">
      <c r="A128" s="227"/>
      <c r="D128" s="228"/>
      <c r="E128" s="229"/>
      <c r="F128" s="230"/>
      <c r="G128" s="229"/>
      <c r="H128" s="231"/>
      <c r="I128" s="232"/>
      <c r="J128" s="233"/>
      <c r="K128" s="234"/>
      <c r="L128" s="234"/>
      <c r="M128" s="234"/>
      <c r="N128" s="235"/>
      <c r="O128" s="234"/>
      <c r="P128" s="118"/>
      <c r="Q128" s="239"/>
      <c r="R128" s="239"/>
      <c r="W128" s="24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77" t="n">
        <v>0</v>
      </c>
    </row>
    <row r="129" s="177" customFormat="true" ht="17.25" hidden="true" customHeight="true" outlineLevel="0" collapsed="false">
      <c r="A129" s="227"/>
      <c r="D129" s="228"/>
      <c r="E129" s="229"/>
      <c r="F129" s="230"/>
      <c r="G129" s="229"/>
      <c r="H129" s="231"/>
      <c r="I129" s="232"/>
      <c r="J129" s="233"/>
      <c r="K129" s="234"/>
      <c r="L129" s="239"/>
      <c r="M129" s="239"/>
      <c r="N129" s="239"/>
      <c r="O129" s="239"/>
      <c r="P129" s="239"/>
      <c r="Q129" s="239"/>
      <c r="R129" s="239"/>
      <c r="W129" s="24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77" t="n">
        <v>0</v>
      </c>
    </row>
    <row r="130" s="177" customFormat="true" ht="17.25" hidden="true" customHeight="true" outlineLevel="0" collapsed="false">
      <c r="A130" s="227"/>
      <c r="D130" s="228"/>
      <c r="E130" s="229"/>
      <c r="F130" s="230"/>
      <c r="G130" s="229"/>
      <c r="H130" s="241"/>
      <c r="I130" s="242"/>
      <c r="J130" s="242"/>
      <c r="K130" s="242"/>
      <c r="L130" s="242"/>
      <c r="M130" s="242"/>
      <c r="N130" s="242"/>
      <c r="O130" s="242"/>
      <c r="P130" s="242"/>
      <c r="Q130" s="242"/>
      <c r="R130" s="242"/>
      <c r="S130" s="243"/>
      <c r="T130" s="243"/>
      <c r="U130" s="243"/>
      <c r="V130" s="243"/>
      <c r="W130" s="244"/>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77" t="n">
        <v>0</v>
      </c>
    </row>
    <row r="131" s="177" customFormat="true" ht="17.25" hidden="true" customHeight="true" outlineLevel="0" collapsed="false">
      <c r="A131" s="227"/>
      <c r="C131" s="121"/>
      <c r="D131" s="228" t="n">
        <v>3</v>
      </c>
      <c r="E131" s="229" t="s">
        <v>271</v>
      </c>
      <c r="F131" s="230" t="s">
        <v>19</v>
      </c>
      <c r="G131" s="229"/>
      <c r="H131" s="231"/>
      <c r="I131" s="232"/>
      <c r="J131" s="233"/>
      <c r="K131" s="234"/>
      <c r="L131" s="234"/>
      <c r="M131" s="234"/>
      <c r="N131" s="235"/>
      <c r="O131" s="234"/>
      <c r="P131" s="234"/>
      <c r="Q131" s="234"/>
      <c r="R131" s="236"/>
      <c r="S131" s="234"/>
      <c r="T131" s="234"/>
      <c r="U131" s="234"/>
      <c r="V131" s="236"/>
      <c r="W131" s="237"/>
      <c r="X131" s="238"/>
      <c r="Y131" s="238"/>
      <c r="Z131" s="238"/>
      <c r="AA131" s="238"/>
      <c r="AB131" s="238"/>
      <c r="AC131" s="238" t="s">
        <v>272</v>
      </c>
      <c r="AD131" s="238" t="s">
        <v>273</v>
      </c>
      <c r="AE131" s="238" t="s">
        <v>274</v>
      </c>
      <c r="AF131" s="238" t="s">
        <v>275</v>
      </c>
      <c r="AG131" s="238"/>
      <c r="AH131" s="238" t="str">
        <f aca="false">IF($E$131=0,"",$E$131)</f>
        <v>Тариф на подключение (технологическое присоединение) к централизованной системе водоотведения</v>
      </c>
      <c r="AI131" s="238" t="str">
        <f aca="false">IF($G$131=0,"",$G$131)</f>
        <v/>
      </c>
      <c r="AJ131" s="238" t="str">
        <f aca="false">IF($J$131=0,"",$J$131)</f>
        <v/>
      </c>
      <c r="AK131" s="238" t="str">
        <f aca="false">IF($K$131="нет","без дифференциации",IF($N$131=0,"",$N$131))</f>
        <v/>
      </c>
      <c r="AL131" s="238" t="str">
        <f aca="false">IF($O$131="нет","без дифференциации",IF($R$131=0,"",$R$131))</f>
        <v/>
      </c>
      <c r="AM131" s="238" t="str">
        <f aca="false">IF($S$131="нет","без дифференциации",IF($V$131=0,"",$V$131))</f>
        <v/>
      </c>
      <c r="AN131" s="246" t="n">
        <f aca="false">$I$131</f>
        <v>0</v>
      </c>
      <c r="AO131" s="238" t="str">
        <f aca="false">$I$131&amp;"."&amp;$M$131</f>
        <v>.</v>
      </c>
      <c r="AP131" s="100" t="str">
        <f aca="false">$I$131&amp;"."&amp;$M$131&amp;"."&amp;$Q$131</f>
        <v>..</v>
      </c>
      <c r="AQ131" s="100" t="str">
        <f aca="false">$I$131&amp;"."&amp;$M$131&amp;"."&amp;$Q$131&amp;"."&amp;$U$131</f>
        <v>...</v>
      </c>
      <c r="AR131" s="177" t="n">
        <v>0</v>
      </c>
    </row>
    <row r="132" s="177" customFormat="true" ht="17.25" hidden="true" customHeight="true" outlineLevel="0" collapsed="false">
      <c r="A132" s="227"/>
      <c r="D132" s="228"/>
      <c r="E132" s="229"/>
      <c r="F132" s="230"/>
      <c r="G132" s="229"/>
      <c r="H132" s="231"/>
      <c r="I132" s="232"/>
      <c r="J132" s="233"/>
      <c r="K132" s="234"/>
      <c r="L132" s="234"/>
      <c r="M132" s="234"/>
      <c r="N132" s="235"/>
      <c r="O132" s="234"/>
      <c r="P132" s="234"/>
      <c r="Q132" s="234"/>
      <c r="R132" s="236"/>
      <c r="S132" s="234"/>
      <c r="T132" s="239"/>
      <c r="U132" s="239"/>
      <c r="V132" s="239"/>
      <c r="W132" s="24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77" t="n">
        <v>0</v>
      </c>
    </row>
    <row r="133" s="177" customFormat="true" ht="17.25" hidden="true" customHeight="true" outlineLevel="0" collapsed="false">
      <c r="A133" s="227"/>
      <c r="D133" s="228"/>
      <c r="E133" s="229"/>
      <c r="F133" s="230"/>
      <c r="G133" s="229"/>
      <c r="H133" s="231"/>
      <c r="I133" s="232"/>
      <c r="J133" s="233"/>
      <c r="K133" s="234"/>
      <c r="L133" s="234"/>
      <c r="M133" s="234"/>
      <c r="N133" s="235"/>
      <c r="O133" s="234"/>
      <c r="P133" s="118"/>
      <c r="Q133" s="239"/>
      <c r="R133" s="239"/>
      <c r="W133" s="24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77" t="n">
        <v>0</v>
      </c>
    </row>
    <row r="134" s="177" customFormat="true" ht="17.25" hidden="true" customHeight="true" outlineLevel="0" collapsed="false">
      <c r="A134" s="227"/>
      <c r="D134" s="228"/>
      <c r="E134" s="229"/>
      <c r="F134" s="230"/>
      <c r="G134" s="229"/>
      <c r="H134" s="231"/>
      <c r="I134" s="232"/>
      <c r="J134" s="233"/>
      <c r="K134" s="234"/>
      <c r="L134" s="239"/>
      <c r="M134" s="239"/>
      <c r="N134" s="239"/>
      <c r="O134" s="239"/>
      <c r="P134" s="239"/>
      <c r="Q134" s="239"/>
      <c r="R134" s="239"/>
      <c r="W134" s="24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77" t="n">
        <v>0</v>
      </c>
    </row>
    <row r="135" s="177" customFormat="true" ht="17.25" hidden="true" customHeight="true" outlineLevel="0" collapsed="false">
      <c r="A135" s="227"/>
      <c r="D135" s="228"/>
      <c r="E135" s="229"/>
      <c r="F135" s="230"/>
      <c r="G135" s="229"/>
      <c r="H135" s="241"/>
      <c r="I135" s="242"/>
      <c r="J135" s="242"/>
      <c r="K135" s="242"/>
      <c r="L135" s="242"/>
      <c r="M135" s="242"/>
      <c r="N135" s="242"/>
      <c r="O135" s="242"/>
      <c r="P135" s="242"/>
      <c r="Q135" s="242"/>
      <c r="R135" s="242"/>
      <c r="S135" s="243"/>
      <c r="T135" s="243"/>
      <c r="U135" s="243"/>
      <c r="V135" s="243"/>
      <c r="W135" s="244"/>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77" t="n">
        <v>0</v>
      </c>
    </row>
    <row r="136" customFormat="false" ht="11.25" hidden="false" customHeight="true" outlineLevel="0" collapsed="false">
      <c r="AR136" s="177" t="n">
        <v>11</v>
      </c>
    </row>
    <row r="137" customFormat="false" ht="11.25" hidden="false" customHeight="true" outlineLevel="0" collapsed="false">
      <c r="AR137" s="177" t="n">
        <v>11</v>
      </c>
    </row>
    <row r="138" customFormat="false" ht="11.25" hidden="false" customHeight="true" outlineLevel="0" collapsed="false">
      <c r="AR138" s="177" t="n">
        <v>11</v>
      </c>
    </row>
    <row r="139" customFormat="false" ht="11.25" hidden="false" customHeight="true" outlineLevel="0" collapsed="false">
      <c r="AR139" s="177" t="n">
        <v>11</v>
      </c>
    </row>
    <row r="140" customFormat="false" ht="11.25" hidden="false" customHeight="true" outlineLevel="0" collapsed="false">
      <c r="AR140" s="177" t="n">
        <v>11</v>
      </c>
    </row>
    <row r="141" customFormat="false" ht="11.25" hidden="false" customHeight="true" outlineLevel="0" collapsed="false">
      <c r="AR141" s="177" t="n">
        <v>11</v>
      </c>
    </row>
    <row r="142" customFormat="false" ht="11.25" hidden="false" customHeight="true" outlineLevel="0" collapsed="false">
      <c r="AR142" s="177" t="n">
        <v>11</v>
      </c>
    </row>
    <row r="143" customFormat="false" ht="11.25" hidden="false" customHeight="true" outlineLevel="0" collapsed="false">
      <c r="AR143" s="177" t="n">
        <v>11</v>
      </c>
    </row>
    <row r="144" customFormat="false" ht="11.25" hidden="false" customHeight="true" outlineLevel="0" collapsed="false">
      <c r="AR144" s="177" t="n">
        <v>11</v>
      </c>
    </row>
    <row r="145" customFormat="false" ht="11.25" hidden="false" customHeight="true" outlineLevel="0" collapsed="false">
      <c r="AR145" s="177" t="n">
        <v>11</v>
      </c>
    </row>
    <row r="146" customFormat="false" ht="11.25" hidden="true" customHeight="true" outlineLevel="0" collapsed="false">
      <c r="A146" s="122" t="s">
        <v>80</v>
      </c>
      <c r="B146" s="122" t="n">
        <v>0</v>
      </c>
      <c r="C146" s="177" t="n">
        <v>3</v>
      </c>
      <c r="D146" s="177" t="n">
        <v>6</v>
      </c>
      <c r="E146" s="177" t="n">
        <v>42</v>
      </c>
      <c r="F146" s="177" t="n">
        <v>14</v>
      </c>
      <c r="G146" s="177" t="n">
        <v>42</v>
      </c>
      <c r="H146" s="177" t="n">
        <v>3</v>
      </c>
      <c r="I146" s="177" t="n">
        <v>5</v>
      </c>
      <c r="J146" s="177" t="n">
        <v>47</v>
      </c>
      <c r="K146" s="177" t="n">
        <v>3</v>
      </c>
      <c r="L146" s="177" t="n">
        <v>3</v>
      </c>
      <c r="M146" s="177" t="n">
        <v>5</v>
      </c>
      <c r="N146" s="177" t="n">
        <v>28</v>
      </c>
      <c r="O146" s="177" t="n">
        <v>3</v>
      </c>
      <c r="P146" s="177" t="n">
        <v>3</v>
      </c>
      <c r="Q146" s="177" t="n">
        <v>5</v>
      </c>
      <c r="R146" s="177" t="n">
        <v>34</v>
      </c>
      <c r="S146" s="177" t="n">
        <v>0</v>
      </c>
      <c r="T146" s="177" t="n">
        <v>0</v>
      </c>
      <c r="U146" s="177" t="n">
        <v>0</v>
      </c>
      <c r="V146" s="177" t="n">
        <v>0</v>
      </c>
      <c r="W146" s="177" t="n">
        <v>30</v>
      </c>
      <c r="X146" s="177" t="n">
        <v>3</v>
      </c>
      <c r="Y146" s="100" t="n">
        <v>0</v>
      </c>
      <c r="Z146" s="100" t="n">
        <v>0</v>
      </c>
      <c r="AA146" s="100" t="n">
        <v>0</v>
      </c>
      <c r="AB146" s="100" t="n">
        <v>0</v>
      </c>
      <c r="AC146" s="100" t="n">
        <v>0</v>
      </c>
      <c r="AD146" s="100" t="n">
        <v>0</v>
      </c>
      <c r="AE146" s="100" t="n">
        <v>0</v>
      </c>
      <c r="AF146" s="100" t="n">
        <v>0</v>
      </c>
      <c r="AG146" s="100" t="n">
        <v>0</v>
      </c>
      <c r="AH146" s="100" t="n">
        <v>0</v>
      </c>
      <c r="AI146" s="100" t="n">
        <v>0</v>
      </c>
      <c r="AJ146" s="100" t="n">
        <v>0</v>
      </c>
      <c r="AK146" s="100" t="n">
        <v>0</v>
      </c>
      <c r="AL146" s="100" t="n">
        <v>0</v>
      </c>
      <c r="AM146" s="100" t="n">
        <v>0</v>
      </c>
      <c r="AN146" s="100" t="n">
        <v>0</v>
      </c>
      <c r="AO146" s="100" t="n">
        <v>0</v>
      </c>
      <c r="AP146" s="100" t="n">
        <v>0</v>
      </c>
      <c r="AQ146" s="100" t="n">
        <v>0</v>
      </c>
      <c r="AR146" s="177" t="n">
        <v>11</v>
      </c>
    </row>
  </sheetData>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5">
    <dataValidation allowBlank="true" error="Допускается ввод не более 900 символов!" errorStyle="stop" errorTitle="Ошибка" operator="lessThanOrEqual" showDropDown="false" showErrorMessage="true" showInputMessage="true" sqref="J13:J14 R13:R14 V13:W13 J18:J19 R18:R19 V18:W18 J23:J24 R23:R24 V23:W23 J28:J29 R28:R29 V28:W28 J33:J34 R33:R34 V33:W33 J38:J39 R38:R39 V38:W38 J43:J44 R43:R44 V43:W43 J48:J49 R48:R49 V48:W48 J53:J54 R53:R54 V53:W53 J58:J59 R58:R59 V58:W58 J63:J64 R63:R64 V63:W63 J79:J80 R79:R80 V79:W79 J84:J85 R84:R85 V84:W84 J89:J90 R89:R90 V89:W89 J94:J95 R94:R95 V94:W94 J99:J100 R99:R100 V99:W99 J105:J106 R105:R106 V105:W105 J110:J111 R110:R111 V110:W110 J115:J116 R115:R116 V115:W115 J121:J122 R121:R122 V121:W121 J126:J127 R126:R127 V126:W126 J131:J132 R131:R132 V131:W131"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E18:E22" type="list">
      <formula1>kind_of_tariff_RHEAT</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3:G67 G79:G103 G105:G119 G121:G135" type="none">
      <formula1>0</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3:N15 N18:N20 N23:N25 N28:N30 N33:N35 N38:N40 N43:N45 N48:N50 N53:N55 N58:N60 N63:N65 N79:N81 N84:N86 N89:N91 N94:N96 N99:N101 N105:N107 N110:N112 N115:N117 N121:N123 N126:N128 N131:N133" type="list">
      <formula1>DESCRIPTION_TERRITORY</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3:F65 K13:K14 O13:O14 S13:S14 K18:K19 O18:O19 S18:S19 K23:K24 O23:O24 S23:S24 K28:K29 O28:O29 S28:S29 K33:K34 O33:O34 S33:S34 K38:K39 O38:O39 S38:S39 K43:K44 O43:O44 S43:S44 K48:K49 O48:O49 S48:S49 K53:K54 O53:O54 S53:S54 K58:K59 O58:O59 S58:S59 K63:K64 O63:O64 S63:S64 F66:F67 F79:F101 K79:K80 O79:O80 S79:S80 K84:K85 O84:O85 S84:S85 K89:K90 O89:O90 S89:S90 K94:K95 O94:O95 S94:S95 K99:K100 O99:O100 S99:S100 F102:F103 F105:F117 K105:K106 O105:O106 S105:S106 K110:K111 O110:O111 S110:S111 K115:K116 O115:O116 S115:S116 F118:F119 F121:F133 K121:K122 O121:O122 S121:S122 K126:K127 O126:O127 S126:S127 K131:K132 O131:O132 S131:S132 F134:F135"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V3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2" width="4"/>
    <col collapsed="false" customWidth="true" hidden="false" outlineLevel="0" max="4" min="4" style="42" width="6"/>
    <col collapsed="false" customWidth="true" hidden="false" outlineLevel="0" max="5" min="5" style="42" width="47"/>
    <col collapsed="false" customWidth="true" hidden="false" outlineLevel="0" max="6" min="6" style="42" width="9"/>
    <col collapsed="false" customWidth="true" hidden="true" outlineLevel="0" max="7" min="7" style="42" width="25.71"/>
    <col collapsed="false" customWidth="true" hidden="true" outlineLevel="0" max="8" min="8" style="42" width="34"/>
    <col collapsed="false" customWidth="true" hidden="false" outlineLevel="0" max="9" min="9" style="42" width="25.71"/>
    <col collapsed="false" customWidth="true" hidden="false" outlineLevel="0" max="10" min="10" style="42" width="33"/>
    <col collapsed="false" customWidth="true" hidden="false" outlineLevel="0" max="11" min="11" style="45" width="50"/>
    <col collapsed="false" customWidth="true" hidden="false" outlineLevel="0" max="20" min="12" style="42" width="10"/>
    <col collapsed="false" customWidth="true" hidden="false" outlineLevel="0" max="21" min="21" style="108" width="10"/>
    <col collapsed="false" customWidth="false" hidden="true" outlineLevel="0" max="22" min="22" style="42" width="10.57"/>
  </cols>
  <sheetData>
    <row r="1" s="45" customFormat="true" ht="22.5" hidden="true" customHeight="true" outlineLevel="0" collapsed="false">
      <c r="C1" s="107"/>
      <c r="G1" s="45" t="n">
        <v>4</v>
      </c>
      <c r="I1" s="45" t="n">
        <v>4</v>
      </c>
      <c r="U1" s="159"/>
      <c r="V1" s="45" t="s">
        <v>14</v>
      </c>
    </row>
    <row r="2" s="42" customFormat="true" ht="15" hidden="true" customHeight="true" outlineLevel="0" collapsed="false">
      <c r="A2" s="48"/>
      <c r="C2" s="142"/>
      <c r="D2" s="118"/>
      <c r="E2" s="273"/>
      <c r="F2" s="43"/>
      <c r="G2" s="135"/>
      <c r="H2" s="135"/>
      <c r="I2" s="135"/>
      <c r="J2" s="135"/>
      <c r="U2" s="108"/>
      <c r="V2" s="42" t="n">
        <v>0</v>
      </c>
    </row>
    <row r="3" s="45" customFormat="true" ht="15" hidden="true" customHeight="true" outlineLevel="0" collapsed="false">
      <c r="C3" s="107"/>
      <c r="U3" s="159"/>
      <c r="V3" s="45" t="n">
        <v>0</v>
      </c>
    </row>
    <row r="4" customFormat="false" ht="15.75" hidden="false" customHeight="true" outlineLevel="0" collapsed="false">
      <c r="V4" s="42" t="n">
        <v>15</v>
      </c>
    </row>
    <row r="5" customFormat="false" ht="66" hidden="false" customHeight="true" outlineLevel="0" collapsed="false">
      <c r="D5" s="215" t="s">
        <v>1153</v>
      </c>
      <c r="E5" s="215"/>
      <c r="F5" s="215"/>
      <c r="G5" s="215"/>
      <c r="H5" s="215"/>
      <c r="I5" s="215"/>
      <c r="J5" s="215"/>
      <c r="V5" s="42" t="n">
        <v>63</v>
      </c>
    </row>
    <row r="6" customFormat="false" ht="15.75" hidden="false" customHeight="true" outlineLevel="0" collapsed="false">
      <c r="D6" s="259" t="str">
        <f aca="false">IF(org=0,"Не определено",org)</f>
        <v>Филиал ПАО "ОГК-2" - Серовская ГРЭС, г. Серов</v>
      </c>
      <c r="E6" s="259"/>
      <c r="F6" s="259"/>
      <c r="G6" s="259"/>
      <c r="H6" s="259"/>
      <c r="I6" s="259"/>
      <c r="J6" s="259"/>
      <c r="V6" s="42" t="n">
        <v>15</v>
      </c>
    </row>
    <row r="7" customFormat="false" ht="15.75" hidden="false" customHeight="true" outlineLevel="0" collapsed="false">
      <c r="D7" s="290"/>
      <c r="G7" s="45" t="n">
        <v>22</v>
      </c>
      <c r="I7" s="45" t="n">
        <v>1</v>
      </c>
      <c r="J7" s="290"/>
      <c r="V7" s="42" t="n">
        <v>15</v>
      </c>
    </row>
    <row r="8" s="42" customFormat="true" ht="0.75" hidden="false" customHeight="true" outlineLevel="0" collapsed="false">
      <c r="A8" s="48"/>
      <c r="C8" s="142"/>
      <c r="G8" s="45"/>
      <c r="H8" s="290"/>
      <c r="I8" s="45" t="s">
        <v>115</v>
      </c>
      <c r="J8" s="290"/>
      <c r="K8" s="45"/>
      <c r="U8" s="108"/>
      <c r="V8" s="42" t="n">
        <v>1</v>
      </c>
    </row>
    <row r="9" customFormat="false" ht="15.75" hidden="false" customHeight="true" outlineLevel="0" collapsed="false">
      <c r="D9" s="624"/>
      <c r="E9" s="625" t="s">
        <v>103</v>
      </c>
      <c r="F9" s="625"/>
      <c r="G9" s="780" t="str">
        <f aca="false">IF(G8="","",INDEX(DIFFERENTIATION_UNMERGE_VD,MATCH(G8,DIFFERENTIATION_ID_DIFF,0)))</f>
        <v/>
      </c>
      <c r="H9" s="780"/>
      <c r="I9" s="780" t="str">
        <f aca="false">IF(I8="","",INDEX(DIFFERENTIATION_UNMERGE_VD,MATCH(I8,DIFFERENTIATION_ID_DIFF,0)))</f>
        <v>Водоотведение; Транспортировка</v>
      </c>
      <c r="J9" s="780"/>
      <c r="K9" s="138" t="s">
        <v>298</v>
      </c>
      <c r="V9" s="42" t="n">
        <v>15</v>
      </c>
    </row>
    <row r="10" s="42" customFormat="true" ht="15.75" hidden="false" customHeight="true" outlineLevel="0" collapsed="false">
      <c r="A10" s="48"/>
      <c r="C10" s="142"/>
      <c r="D10" s="624"/>
      <c r="E10" s="625" t="s">
        <v>561</v>
      </c>
      <c r="F10" s="625"/>
      <c r="G10" s="780" t="str">
        <f aca="false">IF(G8="","",INDEX(DIFFERENTIATION_UNMERGE_AREA,MATCH(G8,DIFFERENTIATION_ID_DIFF,0)))</f>
        <v/>
      </c>
      <c r="H10" s="780"/>
      <c r="I10" s="780" t="str">
        <f aca="false">IF(I8="","",INDEX(DIFFERENTIATION_UNMERGE_AREA,MATCH(I8,DIFFERENTIATION_ID_DIFF,0)))</f>
        <v>Территория 1</v>
      </c>
      <c r="J10" s="780"/>
      <c r="K10" s="138"/>
      <c r="U10" s="108"/>
      <c r="V10" s="42" t="n">
        <v>15</v>
      </c>
    </row>
    <row r="11" s="42" customFormat="true" ht="15.75" hidden="false" customHeight="true" outlineLevel="0" collapsed="false">
      <c r="A11" s="48"/>
      <c r="C11" s="142"/>
      <c r="D11" s="624"/>
      <c r="E11" s="625" t="s">
        <v>562</v>
      </c>
      <c r="F11" s="625"/>
      <c r="G11" s="780" t="str">
        <f aca="false">IF(G8="","",INDEX(DIFFERENTIATION_UNMERGE_SYSTEM,MATCH(G8,DIFFERENTIATION_ID_DIFF,0)))</f>
        <v/>
      </c>
      <c r="H11" s="780"/>
      <c r="I11" s="780" t="str">
        <f aca="false">IF(I8="","",INDEX(DIFFERENTIATION_UNMERGE_SYSTEM,MATCH(I8,DIFFERENTIATION_ID_DIFF,0)))</f>
        <v>без дифференциации</v>
      </c>
      <c r="J11" s="780"/>
      <c r="K11" s="138"/>
      <c r="U11" s="108"/>
      <c r="V11" s="42" t="n">
        <v>15</v>
      </c>
    </row>
    <row r="12" s="42" customFormat="true" ht="15.75" hidden="false" customHeight="true" outlineLevel="0" collapsed="false">
      <c r="A12" s="48"/>
      <c r="C12" s="142"/>
      <c r="D12" s="627" t="s">
        <v>297</v>
      </c>
      <c r="E12" s="627"/>
      <c r="F12" s="627"/>
      <c r="G12" s="628"/>
      <c r="H12" s="628"/>
      <c r="I12" s="628"/>
      <c r="J12" s="628"/>
      <c r="K12" s="138"/>
      <c r="U12" s="108"/>
      <c r="V12" s="42" t="n">
        <v>15</v>
      </c>
    </row>
    <row r="13" customFormat="false" ht="35.25" hidden="false" customHeight="true" outlineLevel="0" collapsed="false">
      <c r="D13" s="150" t="s">
        <v>86</v>
      </c>
      <c r="E13" s="138" t="s">
        <v>299</v>
      </c>
      <c r="F13" s="150" t="s">
        <v>563</v>
      </c>
      <c r="G13" s="263" t="s">
        <v>300</v>
      </c>
      <c r="H13" s="150" t="s">
        <v>387</v>
      </c>
      <c r="I13" s="263" t="s">
        <v>300</v>
      </c>
      <c r="J13" s="150" t="s">
        <v>387</v>
      </c>
      <c r="K13" s="138"/>
      <c r="V13" s="42" t="n">
        <v>34</v>
      </c>
    </row>
    <row r="14" customFormat="false" ht="15" hidden="true" customHeight="true" outlineLevel="0" collapsed="false">
      <c r="D14" s="191" t="s">
        <v>107</v>
      </c>
      <c r="E14" s="191" t="s">
        <v>108</v>
      </c>
      <c r="F14" s="191" t="s">
        <v>88</v>
      </c>
      <c r="G14" s="142" t="str">
        <f aca="false">G1&amp;".1"</f>
        <v>4.1</v>
      </c>
      <c r="H14" s="142"/>
      <c r="I14" s="142" t="str">
        <f aca="false">I1&amp;".1"</f>
        <v>4.1</v>
      </c>
      <c r="J14" s="142"/>
      <c r="K14" s="423"/>
      <c r="V14" s="42" t="n">
        <v>0</v>
      </c>
    </row>
    <row r="15" customFormat="false" ht="22.5" hidden="true" customHeight="true" outlineLevel="0" collapsed="false">
      <c r="A15" s="42"/>
      <c r="C15" s="121"/>
      <c r="D15" s="150" t="n">
        <v>1</v>
      </c>
      <c r="E15" s="281" t="s">
        <v>806</v>
      </c>
      <c r="F15" s="150" t="s">
        <v>807</v>
      </c>
      <c r="G15" s="884"/>
      <c r="H15" s="884"/>
      <c r="I15" s="884"/>
      <c r="J15" s="884"/>
      <c r="K15" s="423" t="s">
        <v>808</v>
      </c>
      <c r="V15" s="42" t="n">
        <v>0</v>
      </c>
    </row>
    <row r="16" customFormat="false" ht="22.5" hidden="true" customHeight="true" outlineLevel="0" collapsed="false">
      <c r="A16" s="42"/>
      <c r="C16" s="121"/>
      <c r="D16" s="150" t="n">
        <v>2</v>
      </c>
      <c r="E16" s="629" t="s">
        <v>809</v>
      </c>
      <c r="F16" s="150" t="s">
        <v>810</v>
      </c>
      <c r="G16" s="884"/>
      <c r="H16" s="884"/>
      <c r="I16" s="884"/>
      <c r="J16" s="884"/>
      <c r="K16" s="423" t="s">
        <v>811</v>
      </c>
      <c r="V16" s="42" t="n">
        <v>0</v>
      </c>
    </row>
    <row r="17" customFormat="false" ht="123.75" hidden="true" customHeight="true" outlineLevel="0" collapsed="false">
      <c r="A17" s="42"/>
      <c r="C17" s="121"/>
      <c r="D17" s="150" t="n">
        <v>3</v>
      </c>
      <c r="E17" s="629" t="s">
        <v>1154</v>
      </c>
      <c r="F17" s="150" t="s">
        <v>303</v>
      </c>
      <c r="G17" s="884"/>
      <c r="H17" s="884"/>
      <c r="I17" s="884"/>
      <c r="J17" s="884"/>
      <c r="K17" s="612" t="s">
        <v>1155</v>
      </c>
      <c r="V17" s="42" t="n">
        <v>0</v>
      </c>
    </row>
    <row r="18" customFormat="false" ht="48" hidden="false" customHeight="true" outlineLevel="0" collapsed="false">
      <c r="A18" s="42"/>
      <c r="C18" s="121"/>
      <c r="D18" s="150" t="n">
        <v>3</v>
      </c>
      <c r="E18" s="629" t="s">
        <v>812</v>
      </c>
      <c r="F18" s="150" t="s">
        <v>303</v>
      </c>
      <c r="G18" s="150" t="s">
        <v>303</v>
      </c>
      <c r="H18" s="260" t="s">
        <v>303</v>
      </c>
      <c r="I18" s="150" t="s">
        <v>303</v>
      </c>
      <c r="J18" s="260" t="s">
        <v>303</v>
      </c>
      <c r="K18" s="423" t="s">
        <v>1156</v>
      </c>
      <c r="V18" s="42" t="n">
        <v>46</v>
      </c>
    </row>
    <row r="19" customFormat="false" ht="35.25" hidden="false" customHeight="true" outlineLevel="0" collapsed="false">
      <c r="A19" s="42"/>
      <c r="C19" s="121"/>
      <c r="D19" s="200" t="s">
        <v>321</v>
      </c>
      <c r="E19" s="577" t="s">
        <v>814</v>
      </c>
      <c r="F19" s="150" t="s">
        <v>815</v>
      </c>
      <c r="G19" s="747"/>
      <c r="H19" s="333"/>
      <c r="I19" s="747"/>
      <c r="J19" s="662"/>
      <c r="K19" s="783"/>
      <c r="V19" s="42" t="n">
        <v>34</v>
      </c>
    </row>
    <row r="20" customFormat="false" ht="35.25" hidden="false" customHeight="true" outlineLevel="0" collapsed="false">
      <c r="A20" s="42"/>
      <c r="C20" s="121"/>
      <c r="D20" s="200" t="s">
        <v>329</v>
      </c>
      <c r="E20" s="577" t="s">
        <v>816</v>
      </c>
      <c r="F20" s="150" t="s">
        <v>817</v>
      </c>
      <c r="G20" s="747"/>
      <c r="H20" s="333"/>
      <c r="I20" s="747"/>
      <c r="J20" s="333"/>
      <c r="K20" s="783"/>
      <c r="V20" s="42" t="n">
        <v>34</v>
      </c>
    </row>
    <row r="21" customFormat="false" ht="48" hidden="false" customHeight="true" outlineLevel="0" collapsed="false">
      <c r="A21" s="42"/>
      <c r="C21" s="121"/>
      <c r="D21" s="200" t="s">
        <v>331</v>
      </c>
      <c r="E21" s="577" t="s">
        <v>818</v>
      </c>
      <c r="F21" s="150" t="s">
        <v>568</v>
      </c>
      <c r="G21" s="748"/>
      <c r="H21" s="333"/>
      <c r="I21" s="748"/>
      <c r="J21" s="333"/>
      <c r="K21" s="783"/>
      <c r="V21" s="42" t="n">
        <v>46</v>
      </c>
    </row>
    <row r="22" customFormat="false" ht="67.5" hidden="true" customHeight="true" outlineLevel="0" collapsed="false">
      <c r="A22" s="42"/>
      <c r="C22" s="121"/>
      <c r="D22" s="150" t="n">
        <v>5</v>
      </c>
      <c r="E22" s="629" t="s">
        <v>1157</v>
      </c>
      <c r="F22" s="150" t="s">
        <v>555</v>
      </c>
      <c r="G22" s="885"/>
      <c r="H22" s="585"/>
      <c r="I22" s="885"/>
      <c r="J22" s="585"/>
      <c r="K22" s="612" t="s">
        <v>1158</v>
      </c>
      <c r="V22" s="42" t="n">
        <v>0</v>
      </c>
    </row>
    <row r="23" customFormat="false" ht="33.75" hidden="true" customHeight="true" outlineLevel="0" collapsed="false">
      <c r="C23" s="121"/>
      <c r="D23" s="150" t="n">
        <v>6</v>
      </c>
      <c r="E23" s="629" t="s">
        <v>1159</v>
      </c>
      <c r="F23" s="150" t="s">
        <v>1160</v>
      </c>
      <c r="G23" s="885"/>
      <c r="H23" s="885"/>
      <c r="I23" s="885"/>
      <c r="J23" s="885"/>
      <c r="K23" s="423" t="s">
        <v>1161</v>
      </c>
      <c r="V23" s="42" t="n">
        <v>0</v>
      </c>
    </row>
    <row r="24" customFormat="false" ht="15.75" hidden="false" customHeight="true" outlineLevel="0" collapsed="false">
      <c r="V24" s="42" t="n">
        <v>15</v>
      </c>
    </row>
    <row r="25" customFormat="false" ht="15.75" hidden="false" customHeight="true" outlineLevel="0" collapsed="false">
      <c r="V25" s="42" t="n">
        <v>15</v>
      </c>
    </row>
    <row r="26" customFormat="false" ht="15.75" hidden="false" customHeight="true" outlineLevel="0" collapsed="false">
      <c r="V26" s="42" t="n">
        <v>15</v>
      </c>
    </row>
    <row r="27" customFormat="false" ht="15.75" hidden="false" customHeight="true" outlineLevel="0" collapsed="false">
      <c r="V27" s="42" t="n">
        <v>15</v>
      </c>
    </row>
    <row r="28" customFormat="false" ht="15.75" hidden="false" customHeight="true" outlineLevel="0" collapsed="false">
      <c r="V28" s="42" t="n">
        <v>15</v>
      </c>
    </row>
    <row r="29" customFormat="false" ht="15.75" hidden="false" customHeight="true" outlineLevel="0" collapsed="false">
      <c r="J29" s="886"/>
      <c r="V29" s="42" t="n">
        <v>15</v>
      </c>
    </row>
    <row r="30" customFormat="false" ht="22.5" hidden="true" customHeight="true" outlineLevel="0" collapsed="false">
      <c r="A30" s="48" t="s">
        <v>80</v>
      </c>
      <c r="B30" s="42" t="n">
        <v>0</v>
      </c>
      <c r="C30" s="142" t="n">
        <v>4</v>
      </c>
      <c r="D30" s="42" t="n">
        <v>6</v>
      </c>
      <c r="E30" s="42" t="n">
        <v>47</v>
      </c>
      <c r="F30" s="42" t="n">
        <v>9</v>
      </c>
      <c r="G30" s="42" t="n">
        <v>0</v>
      </c>
      <c r="H30" s="42" t="n">
        <v>0</v>
      </c>
      <c r="I30" s="42" t="n">
        <v>25</v>
      </c>
      <c r="J30" s="42" t="n">
        <v>33</v>
      </c>
      <c r="K30" s="45" t="n">
        <v>50</v>
      </c>
      <c r="L30" s="42" t="n">
        <v>10</v>
      </c>
      <c r="M30" s="42" t="n">
        <v>10</v>
      </c>
      <c r="N30" s="42" t="n">
        <v>10</v>
      </c>
      <c r="O30" s="42" t="n">
        <v>10</v>
      </c>
      <c r="P30" s="42" t="n">
        <v>10</v>
      </c>
      <c r="Q30" s="42" t="n">
        <v>10</v>
      </c>
      <c r="R30" s="42" t="n">
        <v>10</v>
      </c>
      <c r="S30" s="42" t="n">
        <v>10</v>
      </c>
      <c r="T30" s="42" t="n">
        <v>10</v>
      </c>
      <c r="U30" s="108" t="n">
        <v>10</v>
      </c>
      <c r="V30" s="42" t="n">
        <v>23</v>
      </c>
    </row>
  </sheetData>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4">
    <dataValidation allowBlank="true" error="Допускается ввод не более 900 символов!" errorStyle="stop" errorTitle="Ошибка" operator="lessThanOrEqual" showDropDown="false" showErrorMessage="true" showInputMessage="true" sqref="H19:H21 J19:J21"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21 I21"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9:G20 I19:I20" type="whole">
      <formula1>0</formula1>
      <formula2>9.99999999999999E+023</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D1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835" width="32.57"/>
    <col collapsed="false" customWidth="true" hidden="false" outlineLevel="0" max="2" min="2" style="55" width="11"/>
    <col collapsed="false" customWidth="false" hidden="false" outlineLevel="0" max="3" min="3" style="55" width="9.15"/>
    <col collapsed="false" customWidth="true" hidden="false" outlineLevel="0" max="4" min="4" style="55" width="26.58"/>
    <col collapsed="false" customWidth="true" hidden="false" outlineLevel="0" max="5" min="5" style="136" width="36.85"/>
    <col collapsed="false" customWidth="true" hidden="false" outlineLevel="0" max="6" min="6" style="136" width="23.58"/>
    <col collapsed="false" customWidth="true" hidden="false" outlineLevel="0" max="7" min="7" style="136" width="31.43"/>
    <col collapsed="false" customWidth="true" hidden="false" outlineLevel="0" max="8" min="8" style="136" width="40.85"/>
    <col collapsed="false" customWidth="true" hidden="false" outlineLevel="0" max="9" min="9" style="136" width="14.57"/>
    <col collapsed="false" customWidth="true" hidden="false" outlineLevel="0" max="10" min="10" style="136" width="26.85"/>
    <col collapsed="false" customWidth="true" hidden="false" outlineLevel="0" max="11" min="11" style="136" width="50"/>
    <col collapsed="false" customWidth="true" hidden="false" outlineLevel="0" max="12" min="12" style="136" width="52.43"/>
    <col collapsed="false" customWidth="true" hidden="false" outlineLevel="0" max="13" min="13" style="136" width="10.71"/>
    <col collapsed="false" customWidth="true" hidden="false" outlineLevel="0" max="14" min="14" style="136" width="55.14"/>
    <col collapsed="false" customWidth="true" hidden="false" outlineLevel="0" max="15" min="15" style="136" width="31.85"/>
    <col collapsed="false" customWidth="true" hidden="false" outlineLevel="0" max="16" min="16" style="136" width="23.85"/>
    <col collapsed="false" customWidth="true" hidden="false" outlineLevel="0" max="17" min="17" style="136" width="46.57"/>
    <col collapsed="false" customWidth="true" hidden="false" outlineLevel="0" max="18" min="18" style="136" width="24"/>
    <col collapsed="false" customWidth="true" hidden="false" outlineLevel="0" max="19" min="19" style="136" width="20.58"/>
    <col collapsed="false" customWidth="true" hidden="false" outlineLevel="0" max="20" min="20" style="136" width="22"/>
    <col collapsed="false" customWidth="true" hidden="false" outlineLevel="0" max="22" min="21" style="136" width="26.42"/>
    <col collapsed="false" customWidth="true" hidden="true" outlineLevel="0" max="23" min="23" style="136" width="8.28"/>
    <col collapsed="false" customWidth="true" hidden="false" outlineLevel="0" max="24" min="24" style="136" width="59.71"/>
    <col collapsed="false" customWidth="true" hidden="false" outlineLevel="0" max="25" min="25" style="136" width="49.14"/>
    <col collapsed="false" customWidth="true" hidden="false" outlineLevel="0" max="26" min="26" style="136" width="11.14"/>
    <col collapsed="false" customWidth="true" hidden="false" outlineLevel="0" max="30" min="27" style="136" width="29"/>
    <col collapsed="false" customWidth="false" hidden="false" outlineLevel="0" max="31" min="31" style="136" width="9.15"/>
    <col collapsed="false" customWidth="true" hidden="false" outlineLevel="0" max="32" min="32" style="136" width="34.71"/>
    <col collapsed="false" customWidth="false" hidden="false" outlineLevel="0" max="33" min="33" style="136" width="9.15"/>
    <col collapsed="false" customWidth="true" hidden="false" outlineLevel="0" max="35" min="34" style="136" width="34.42"/>
    <col collapsed="false" customWidth="false" hidden="false" outlineLevel="0" max="36" min="36" style="136" width="9.15"/>
    <col collapsed="false" customWidth="true" hidden="false" outlineLevel="0" max="37" min="37" style="136" width="24.57"/>
    <col collapsed="false" customWidth="false" hidden="false" outlineLevel="0" max="38" min="38" style="136" width="9.15"/>
    <col collapsed="false" customWidth="true" hidden="false" outlineLevel="0" max="39" min="39" style="136" width="26.15"/>
    <col collapsed="false" customWidth="true" hidden="false" outlineLevel="0" max="40" min="40" style="136" width="1.71"/>
    <col collapsed="false" customWidth="false" hidden="false" outlineLevel="0" max="41" min="41" style="136" width="9.15"/>
    <col collapsed="false" customWidth="true" hidden="false" outlineLevel="0" max="43" min="42" style="136" width="47.86"/>
    <col collapsed="false" customWidth="true" hidden="false" outlineLevel="0" max="44" min="44" style="136" width="1.71"/>
    <col collapsed="false" customWidth="true" hidden="false" outlineLevel="0" max="45" min="45" style="136" width="21.43"/>
    <col collapsed="false" customWidth="true" hidden="false" outlineLevel="0" max="46" min="46" style="136" width="1.71"/>
    <col collapsed="false" customWidth="true" hidden="false" outlineLevel="0" max="47" min="47" style="136" width="31.28"/>
    <col collapsed="false" customWidth="true" hidden="false" outlineLevel="0" max="48" min="48" style="136" width="1.71"/>
    <col collapsed="false" customWidth="false" hidden="false" outlineLevel="0" max="50" min="49" style="136" width="9.15"/>
    <col collapsed="false" customWidth="true" hidden="false" outlineLevel="0" max="51" min="51" style="136" width="3.71"/>
    <col collapsed="false" customWidth="true" hidden="false" outlineLevel="0" max="52" min="52" style="136" width="60.86"/>
    <col collapsed="false" customWidth="true" hidden="false" outlineLevel="0" max="53" min="53" style="136" width="49.28"/>
    <col collapsed="false" customWidth="true" hidden="false" outlineLevel="0" max="54" min="54" style="136" width="35.15"/>
    <col collapsed="false" customWidth="false" hidden="false" outlineLevel="0" max="55" min="55" style="136" width="9.15"/>
    <col collapsed="false" customWidth="true" hidden="false" outlineLevel="0" max="56" min="56" style="136" width="1.71"/>
    <col collapsed="false" customWidth="true" hidden="false" outlineLevel="0" max="57" min="57" style="887" width="12.58"/>
    <col collapsed="false" customWidth="true" hidden="false" outlineLevel="0" max="58" min="58" style="887" width="14.28"/>
    <col collapsed="false" customWidth="true" hidden="false" outlineLevel="0" max="59" min="59" style="136" width="30.7"/>
    <col collapsed="false" customWidth="true" hidden="false" outlineLevel="0" max="60" min="60" style="227" width="40.71"/>
    <col collapsed="false" customWidth="true" hidden="false" outlineLevel="0" max="61" min="61" style="227" width="15"/>
    <col collapsed="false" customWidth="true" hidden="false" outlineLevel="0" max="62" min="62" style="227" width="40.71"/>
    <col collapsed="false" customWidth="true" hidden="false" outlineLevel="0" max="63" min="63" style="227" width="2.71"/>
    <col collapsed="false" customWidth="true" hidden="false" outlineLevel="0" max="64" min="64" style="227" width="44.7"/>
    <col collapsed="false" customWidth="true" hidden="false" outlineLevel="0" max="65" min="65" style="227" width="2.71"/>
    <col collapsed="false" customWidth="true" hidden="false" outlineLevel="0" max="66" min="66" style="227" width="40.71"/>
    <col collapsed="false" customWidth="false" hidden="false" outlineLevel="0" max="68" min="67" style="136" width="9.15"/>
    <col collapsed="false" customWidth="true" hidden="false" outlineLevel="0" max="69" min="69" style="136" width="18.15"/>
    <col collapsed="false" customWidth="true" hidden="false" outlineLevel="0" max="70" min="70" style="136" width="57.85"/>
    <col collapsed="false" customWidth="true" hidden="false" outlineLevel="0" max="71" min="71" style="136" width="1.71"/>
    <col collapsed="false" customWidth="true" hidden="false" outlineLevel="0" max="72" min="72" style="136" width="22.57"/>
    <col collapsed="false" customWidth="true" hidden="false" outlineLevel="0" max="73" min="73" style="136" width="57.85"/>
    <col collapsed="false" customWidth="true" hidden="false" outlineLevel="0" max="74" min="74" style="136" width="1.71"/>
    <col collapsed="false" customWidth="true" hidden="false" outlineLevel="0" max="75" min="75" style="136" width="22.57"/>
    <col collapsed="false" customWidth="true" hidden="false" outlineLevel="0" max="76" min="76" style="136" width="57.85"/>
    <col collapsed="false" customWidth="true" hidden="false" outlineLevel="0" max="77" min="77" style="136" width="1.71"/>
    <col collapsed="false" customWidth="true" hidden="false" outlineLevel="0" max="78" min="78" style="136" width="22.57"/>
    <col collapsed="false" customWidth="true" hidden="false" outlineLevel="0" max="79" min="79" style="136" width="57.85"/>
    <col collapsed="false" customWidth="false" hidden="false" outlineLevel="0" max="81" min="80" style="136" width="9.15"/>
    <col collapsed="false" customWidth="true" hidden="false" outlineLevel="0" max="82" min="82" style="136" width="49.57"/>
  </cols>
  <sheetData>
    <row r="1" s="891" customFormat="true" ht="11.25" hidden="false" customHeight="true" outlineLevel="0" collapsed="false">
      <c r="A1" s="888" t="s">
        <v>1162</v>
      </c>
      <c r="B1" s="888" t="s">
        <v>1163</v>
      </c>
      <c r="C1" s="888" t="s">
        <v>1164</v>
      </c>
      <c r="D1" s="888" t="s">
        <v>1165</v>
      </c>
      <c r="E1" s="889" t="s">
        <v>1166</v>
      </c>
      <c r="F1" s="889" t="s">
        <v>1167</v>
      </c>
      <c r="G1" s="889" t="s">
        <v>1168</v>
      </c>
      <c r="H1" s="889" t="s">
        <v>1169</v>
      </c>
      <c r="I1" s="889" t="s">
        <v>1170</v>
      </c>
      <c r="J1" s="889" t="s">
        <v>1171</v>
      </c>
      <c r="K1" s="889" t="s">
        <v>1172</v>
      </c>
      <c r="L1" s="888" t="s">
        <v>1173</v>
      </c>
      <c r="M1" s="888"/>
      <c r="N1" s="888" t="s">
        <v>1174</v>
      </c>
      <c r="O1" s="889" t="s">
        <v>1175</v>
      </c>
      <c r="P1" s="889" t="s">
        <v>1176</v>
      </c>
      <c r="Q1" s="889" t="s">
        <v>1177</v>
      </c>
      <c r="R1" s="889" t="s">
        <v>1178</v>
      </c>
      <c r="S1" s="889" t="s">
        <v>1179</v>
      </c>
      <c r="T1" s="889" t="s">
        <v>1180</v>
      </c>
      <c r="U1" s="889" t="s">
        <v>1181</v>
      </c>
      <c r="V1" s="888"/>
      <c r="W1" s="890" t="s">
        <v>1182</v>
      </c>
      <c r="X1" s="889" t="s">
        <v>1183</v>
      </c>
      <c r="Y1" s="888" t="s">
        <v>1184</v>
      </c>
      <c r="Z1" s="888"/>
      <c r="AA1" s="888" t="s">
        <v>1185</v>
      </c>
      <c r="AB1" s="888"/>
      <c r="AC1" s="888" t="s">
        <v>1186</v>
      </c>
      <c r="AD1" s="888"/>
      <c r="AF1" s="889" t="s">
        <v>1187</v>
      </c>
      <c r="AH1" s="889" t="s">
        <v>1188</v>
      </c>
      <c r="AI1" s="889" t="s">
        <v>1189</v>
      </c>
      <c r="AK1" s="889" t="s">
        <v>1190</v>
      </c>
      <c r="AM1" s="889" t="s">
        <v>1191</v>
      </c>
      <c r="AP1" s="889" t="s">
        <v>1192</v>
      </c>
      <c r="AQ1" s="889" t="s">
        <v>1193</v>
      </c>
      <c r="AS1" s="889" t="s">
        <v>1194</v>
      </c>
      <c r="AU1" s="889" t="s">
        <v>1195</v>
      </c>
      <c r="AW1" s="888" t="s">
        <v>1196</v>
      </c>
      <c r="AX1" s="888" t="s">
        <v>1197</v>
      </c>
      <c r="AZ1" s="892" t="s">
        <v>1198</v>
      </c>
      <c r="BB1" s="889" t="s">
        <v>1199</v>
      </c>
      <c r="BC1" s="888"/>
      <c r="BE1" s="888" t="s">
        <v>1200</v>
      </c>
      <c r="BF1" s="888" t="s">
        <v>1201</v>
      </c>
      <c r="BH1" s="893" t="s">
        <v>805</v>
      </c>
      <c r="BI1" s="227"/>
      <c r="BJ1" s="894" t="s">
        <v>1202</v>
      </c>
      <c r="BK1" s="227"/>
      <c r="BL1" s="895" t="s">
        <v>904</v>
      </c>
      <c r="BM1" s="227"/>
      <c r="BN1" s="896" t="s">
        <v>1203</v>
      </c>
    </row>
    <row r="2" customFormat="false" ht="11.25" hidden="false" customHeight="true" outlineLevel="0" collapsed="false">
      <c r="A2" s="136" t="s">
        <v>1204</v>
      </c>
      <c r="B2" s="897" t="n">
        <v>2000</v>
      </c>
      <c r="C2" s="897" t="n">
        <v>2022</v>
      </c>
      <c r="D2" s="897" t="s">
        <v>64</v>
      </c>
      <c r="E2" s="898" t="s">
        <v>1205</v>
      </c>
      <c r="F2" s="898" t="s">
        <v>1206</v>
      </c>
      <c r="G2" s="898" t="s">
        <v>1207</v>
      </c>
      <c r="H2" s="898" t="s">
        <v>53</v>
      </c>
      <c r="I2" s="898" t="s">
        <v>107</v>
      </c>
      <c r="J2" s="898" t="s">
        <v>1208</v>
      </c>
      <c r="K2" s="899" t="s">
        <v>1209</v>
      </c>
      <c r="L2" s="899"/>
      <c r="M2" s="899" t="n">
        <v>1</v>
      </c>
      <c r="N2" s="900" t="s">
        <v>1210</v>
      </c>
      <c r="O2" s="898" t="s">
        <v>1211</v>
      </c>
      <c r="P2" s="901" t="s">
        <v>37</v>
      </c>
      <c r="Q2" s="902" t="s">
        <v>1212</v>
      </c>
      <c r="R2" s="903" t="s">
        <v>1213</v>
      </c>
      <c r="S2" s="903" t="s">
        <v>1214</v>
      </c>
      <c r="T2" s="904" t="s">
        <v>1215</v>
      </c>
      <c r="U2" s="899" t="s">
        <v>1216</v>
      </c>
      <c r="V2" s="905" t="n">
        <v>1</v>
      </c>
      <c r="W2" s="906"/>
      <c r="X2" s="906" t="s">
        <v>1217</v>
      </c>
      <c r="Y2" s="897" t="s">
        <v>1218</v>
      </c>
      <c r="Z2" s="907"/>
      <c r="AA2" s="897" t="s">
        <v>1219</v>
      </c>
      <c r="AB2" s="908" t="s">
        <v>1219</v>
      </c>
      <c r="AC2" s="897" t="s">
        <v>1220</v>
      </c>
      <c r="AD2" s="908" t="s">
        <v>1220</v>
      </c>
      <c r="AF2" s="898" t="s">
        <v>1216</v>
      </c>
      <c r="AH2" s="898" t="s">
        <v>1221</v>
      </c>
      <c r="AI2" s="898" t="s">
        <v>1221</v>
      </c>
      <c r="AK2" s="898" t="s">
        <v>1222</v>
      </c>
      <c r="AM2" s="898" t="s">
        <v>1223</v>
      </c>
      <c r="AP2" s="690" t="s">
        <v>1217</v>
      </c>
      <c r="AQ2" s="909" t="s">
        <v>1217</v>
      </c>
      <c r="AS2" s="897" t="s">
        <v>1224</v>
      </c>
      <c r="AU2" s="910" t="s">
        <v>1225</v>
      </c>
      <c r="AW2" s="910" t="s">
        <v>1226</v>
      </c>
      <c r="AX2" s="910" t="s">
        <v>1226</v>
      </c>
      <c r="AZ2" s="910" t="s">
        <v>1227</v>
      </c>
      <c r="BB2" s="910" t="s">
        <v>1228</v>
      </c>
      <c r="BC2" s="910" t="s">
        <v>1229</v>
      </c>
      <c r="BE2" s="910" t="n">
        <v>2000</v>
      </c>
      <c r="BF2" s="910" t="s">
        <v>1230</v>
      </c>
    </row>
    <row r="3" customFormat="false" ht="11.25" hidden="false" customHeight="true" outlineLevel="0" collapsed="false">
      <c r="A3" s="136" t="s">
        <v>1231</v>
      </c>
      <c r="B3" s="897" t="n">
        <v>2001</v>
      </c>
      <c r="C3" s="897" t="n">
        <v>2023</v>
      </c>
      <c r="D3" s="897" t="s">
        <v>19</v>
      </c>
      <c r="E3" s="898" t="s">
        <v>1232</v>
      </c>
      <c r="F3" s="898" t="s">
        <v>34</v>
      </c>
      <c r="G3" s="898" t="s">
        <v>1233</v>
      </c>
      <c r="H3" s="898" t="s">
        <v>1234</v>
      </c>
      <c r="I3" s="898" t="s">
        <v>108</v>
      </c>
      <c r="J3" s="898" t="s">
        <v>553</v>
      </c>
      <c r="K3" s="899" t="s">
        <v>1235</v>
      </c>
      <c r="L3" s="899" t="n">
        <f aca="false">_xlfn.iferror(MATCH(K3,OFFER_METHOD,0),0)</f>
        <v>0</v>
      </c>
      <c r="M3" s="899" t="n">
        <v>2</v>
      </c>
      <c r="N3" s="900" t="s">
        <v>1236</v>
      </c>
      <c r="O3" s="898" t="s">
        <v>1237</v>
      </c>
      <c r="P3" s="901" t="s">
        <v>1238</v>
      </c>
      <c r="Q3" s="902" t="s">
        <v>1239</v>
      </c>
      <c r="R3" s="903" t="s">
        <v>1240</v>
      </c>
      <c r="S3" s="903" t="s">
        <v>1241</v>
      </c>
      <c r="T3" s="904" t="s">
        <v>1242</v>
      </c>
      <c r="U3" s="899" t="s">
        <v>1243</v>
      </c>
      <c r="V3" s="905" t="n">
        <v>2</v>
      </c>
      <c r="W3" s="906"/>
      <c r="X3" s="906" t="s">
        <v>1244</v>
      </c>
      <c r="Y3" s="897" t="s">
        <v>1218</v>
      </c>
      <c r="Z3" s="907"/>
      <c r="AA3" s="897" t="s">
        <v>1245</v>
      </c>
      <c r="AB3" s="908" t="s">
        <v>1245</v>
      </c>
      <c r="AC3" s="897" t="s">
        <v>1246</v>
      </c>
      <c r="AD3" s="908" t="s">
        <v>1246</v>
      </c>
      <c r="AF3" s="898" t="s">
        <v>1243</v>
      </c>
      <c r="AH3" s="898" t="s">
        <v>1247</v>
      </c>
      <c r="AI3" s="898" t="s">
        <v>1248</v>
      </c>
      <c r="AK3" s="898" t="s">
        <v>1249</v>
      </c>
      <c r="AM3" s="898" t="s">
        <v>1250</v>
      </c>
      <c r="AP3" s="690" t="s">
        <v>1251</v>
      </c>
      <c r="AQ3" s="909" t="s">
        <v>1251</v>
      </c>
      <c r="AS3" s="897" t="s">
        <v>1252</v>
      </c>
      <c r="AU3" s="910" t="s">
        <v>1253</v>
      </c>
      <c r="AW3" s="910" t="s">
        <v>1254</v>
      </c>
      <c r="AX3" s="910" t="s">
        <v>1254</v>
      </c>
      <c r="AZ3" s="910" t="s">
        <v>1255</v>
      </c>
      <c r="BB3" s="910" t="s">
        <v>1256</v>
      </c>
      <c r="BC3" s="910" t="s">
        <v>1229</v>
      </c>
      <c r="BE3" s="910" t="n">
        <v>2001</v>
      </c>
      <c r="BF3" s="910" t="s">
        <v>1257</v>
      </c>
      <c r="BH3" s="888" t="s">
        <v>1258</v>
      </c>
      <c r="BJ3" s="888" t="s">
        <v>1259</v>
      </c>
      <c r="BL3" s="888" t="s">
        <v>1260</v>
      </c>
      <c r="BN3" s="888" t="s">
        <v>1261</v>
      </c>
      <c r="BR3" s="888" t="s">
        <v>1262</v>
      </c>
      <c r="BS3" s="911"/>
      <c r="BT3" s="227"/>
      <c r="BU3" s="888" t="s">
        <v>1263</v>
      </c>
      <c r="BV3" s="227"/>
      <c r="BW3" s="55"/>
      <c r="BX3" s="888" t="s">
        <v>1264</v>
      </c>
      <c r="CA3" s="888" t="s">
        <v>1265</v>
      </c>
    </row>
    <row r="4" customFormat="false" ht="11.25" hidden="false" customHeight="true" outlineLevel="0" collapsed="false">
      <c r="A4" s="136" t="s">
        <v>1266</v>
      </c>
      <c r="B4" s="897" t="n">
        <v>2002</v>
      </c>
      <c r="C4" s="897" t="n">
        <v>2024</v>
      </c>
      <c r="E4" s="898" t="s">
        <v>1267</v>
      </c>
      <c r="F4" s="898" t="s">
        <v>1268</v>
      </c>
      <c r="H4" s="898" t="s">
        <v>1269</v>
      </c>
      <c r="I4" s="898" t="s">
        <v>88</v>
      </c>
      <c r="J4" s="898" t="s">
        <v>1270</v>
      </c>
      <c r="K4" s="899" t="s">
        <v>1271</v>
      </c>
      <c r="L4" s="899" t="n">
        <f aca="false">_xlfn.iferror(MATCH(K4,OFFER_METHOD,0),0)</f>
        <v>0</v>
      </c>
      <c r="M4" s="899" t="n">
        <v>3</v>
      </c>
      <c r="N4" s="900" t="s">
        <v>1272</v>
      </c>
      <c r="O4" s="898" t="s">
        <v>1273</v>
      </c>
      <c r="Q4" s="902" t="s">
        <v>1274</v>
      </c>
      <c r="R4" s="903" t="s">
        <v>1275</v>
      </c>
      <c r="S4" s="903" t="s">
        <v>1276</v>
      </c>
      <c r="T4" s="904" t="s">
        <v>1277</v>
      </c>
      <c r="U4" s="899" t="s">
        <v>1278</v>
      </c>
      <c r="V4" s="905" t="n">
        <v>3</v>
      </c>
      <c r="W4" s="906"/>
      <c r="X4" s="906" t="s">
        <v>1279</v>
      </c>
      <c r="Y4" s="897" t="s">
        <v>1218</v>
      </c>
      <c r="Z4" s="100"/>
      <c r="AC4" s="897" t="s">
        <v>1280</v>
      </c>
      <c r="AD4" s="908" t="s">
        <v>1280</v>
      </c>
      <c r="AF4" s="898" t="s">
        <v>1278</v>
      </c>
      <c r="AH4" s="898" t="s">
        <v>1281</v>
      </c>
      <c r="AK4" s="898" t="s">
        <v>1282</v>
      </c>
      <c r="AM4" s="898" t="s">
        <v>1283</v>
      </c>
      <c r="AP4" s="690" t="s">
        <v>1244</v>
      </c>
      <c r="AQ4" s="909" t="s">
        <v>1244</v>
      </c>
      <c r="AS4" s="897" t="s">
        <v>1284</v>
      </c>
      <c r="AU4" s="910" t="s">
        <v>1285</v>
      </c>
      <c r="AW4" s="910" t="s">
        <v>1286</v>
      </c>
      <c r="AX4" s="910" t="s">
        <v>1286</v>
      </c>
      <c r="AZ4" s="910" t="s">
        <v>1287</v>
      </c>
      <c r="BB4" s="910" t="s">
        <v>1288</v>
      </c>
      <c r="BC4" s="910" t="s">
        <v>1289</v>
      </c>
      <c r="BE4" s="910" t="n">
        <v>2002</v>
      </c>
      <c r="BF4" s="910" t="s">
        <v>1290</v>
      </c>
      <c r="BH4" s="912" t="s">
        <v>1291</v>
      </c>
      <c r="BJ4" s="912" t="s">
        <v>1291</v>
      </c>
      <c r="BL4" s="912" t="s">
        <v>1291</v>
      </c>
      <c r="BN4" s="912" t="s">
        <v>1291</v>
      </c>
      <c r="BQ4" s="913" t="s">
        <v>1292</v>
      </c>
      <c r="BR4" s="690" t="s">
        <v>1293</v>
      </c>
      <c r="BS4" s="690"/>
      <c r="BT4" s="913" t="s">
        <v>1294</v>
      </c>
      <c r="BU4" s="690" t="s">
        <v>1295</v>
      </c>
      <c r="BV4" s="227"/>
      <c r="BW4" s="913" t="s">
        <v>1296</v>
      </c>
      <c r="BX4" s="690" t="s">
        <v>1297</v>
      </c>
      <c r="BZ4" s="913" t="s">
        <v>1298</v>
      </c>
      <c r="CA4" s="690" t="s">
        <v>1299</v>
      </c>
    </row>
    <row r="5" customFormat="false" ht="11.25" hidden="false" customHeight="true" outlineLevel="0" collapsed="false">
      <c r="A5" s="136" t="s">
        <v>1300</v>
      </c>
      <c r="B5" s="897" t="n">
        <v>2003</v>
      </c>
      <c r="C5" s="897" t="n">
        <v>2025</v>
      </c>
      <c r="E5" s="898" t="s">
        <v>1301</v>
      </c>
      <c r="F5" s="898" t="s">
        <v>1302</v>
      </c>
      <c r="H5" s="898" t="s">
        <v>1303</v>
      </c>
      <c r="I5" s="898" t="s">
        <v>89</v>
      </c>
      <c r="K5" s="899" t="s">
        <v>1304</v>
      </c>
      <c r="L5" s="899" t="n">
        <f aca="false">_xlfn.iferror(MATCH(K5,OFFER_METHOD,0),0)</f>
        <v>0</v>
      </c>
      <c r="M5" s="899" t="n">
        <v>4</v>
      </c>
      <c r="N5" s="914" t="s">
        <v>1305</v>
      </c>
      <c r="O5" s="898" t="s">
        <v>1306</v>
      </c>
      <c r="Q5" s="902" t="s">
        <v>1307</v>
      </c>
      <c r="R5" s="903" t="s">
        <v>1308</v>
      </c>
      <c r="T5" s="898" t="s">
        <v>1309</v>
      </c>
      <c r="U5" s="899" t="s">
        <v>1310</v>
      </c>
      <c r="V5" s="905" t="n">
        <v>4</v>
      </c>
      <c r="W5" s="906"/>
      <c r="X5" s="906" t="s">
        <v>165</v>
      </c>
      <c r="Y5" s="897" t="s">
        <v>1311</v>
      </c>
      <c r="Z5" s="100" t="n">
        <v>1</v>
      </c>
      <c r="AF5" s="898" t="s">
        <v>1312</v>
      </c>
      <c r="AH5" s="898" t="s">
        <v>1313</v>
      </c>
      <c r="AK5" s="898" t="s">
        <v>1314</v>
      </c>
      <c r="AM5" s="898" t="s">
        <v>1315</v>
      </c>
      <c r="AP5" s="690" t="s">
        <v>165</v>
      </c>
      <c r="AQ5" s="909" t="s">
        <v>165</v>
      </c>
      <c r="AU5" s="910" t="s">
        <v>1316</v>
      </c>
      <c r="AW5" s="910" t="s">
        <v>1317</v>
      </c>
      <c r="AX5" s="910" t="s">
        <v>1317</v>
      </c>
      <c r="AZ5" s="910" t="s">
        <v>1318</v>
      </c>
      <c r="BB5" s="910" t="s">
        <v>1319</v>
      </c>
      <c r="BC5" s="910" t="s">
        <v>1320</v>
      </c>
      <c r="BE5" s="910" t="n">
        <v>2003</v>
      </c>
      <c r="BF5" s="910" t="s">
        <v>1321</v>
      </c>
      <c r="BH5" s="912" t="s">
        <v>1322</v>
      </c>
      <c r="BJ5" s="912" t="s">
        <v>1322</v>
      </c>
      <c r="BL5" s="912" t="s">
        <v>1322</v>
      </c>
      <c r="BN5" s="912" t="s">
        <v>1323</v>
      </c>
      <c r="BQ5" s="910" t="n">
        <v>4213775</v>
      </c>
      <c r="BR5" s="912" t="s">
        <v>1217</v>
      </c>
      <c r="BS5" s="915"/>
      <c r="BT5" s="910" t="n">
        <v>64236871</v>
      </c>
      <c r="BU5" s="912" t="s">
        <v>226</v>
      </c>
      <c r="BV5" s="227"/>
      <c r="BW5" s="910" t="n">
        <v>4213767</v>
      </c>
      <c r="BX5" s="912" t="s">
        <v>1324</v>
      </c>
      <c r="BZ5" s="910" t="n">
        <v>64237509</v>
      </c>
      <c r="CA5" s="916" t="s">
        <v>1325</v>
      </c>
    </row>
    <row r="6" customFormat="false" ht="11.25" hidden="false" customHeight="true" outlineLevel="0" collapsed="false">
      <c r="A6" s="136" t="s">
        <v>1326</v>
      </c>
      <c r="B6" s="897" t="n">
        <v>2004</v>
      </c>
      <c r="C6" s="897" t="n">
        <v>2026</v>
      </c>
      <c r="E6" s="898" t="s">
        <v>1327</v>
      </c>
      <c r="F6" s="177"/>
      <c r="H6" s="898" t="s">
        <v>1328</v>
      </c>
      <c r="I6" s="898" t="s">
        <v>109</v>
      </c>
      <c r="J6" s="888" t="s">
        <v>1329</v>
      </c>
      <c r="L6" s="899" t="n">
        <f aca="false">SUM(kind_of_control_method_filter)</f>
        <v>0</v>
      </c>
      <c r="N6" s="914" t="s">
        <v>1330</v>
      </c>
      <c r="O6" s="898" t="s">
        <v>1331</v>
      </c>
      <c r="R6" s="903" t="s">
        <v>1212</v>
      </c>
      <c r="T6" s="898" t="s">
        <v>1332</v>
      </c>
      <c r="U6" s="899" t="s">
        <v>1312</v>
      </c>
      <c r="V6" s="905" t="n">
        <v>5</v>
      </c>
      <c r="W6" s="906"/>
      <c r="X6" s="897" t="s">
        <v>171</v>
      </c>
      <c r="Y6" s="897" t="s">
        <v>1333</v>
      </c>
      <c r="Z6" s="100"/>
      <c r="AA6" s="750"/>
      <c r="AH6" s="898" t="s">
        <v>1334</v>
      </c>
      <c r="AK6" s="898" t="s">
        <v>1335</v>
      </c>
      <c r="AM6" s="898" t="s">
        <v>1336</v>
      </c>
      <c r="AP6" s="690" t="s">
        <v>171</v>
      </c>
      <c r="AQ6" s="909" t="s">
        <v>171</v>
      </c>
      <c r="AU6" s="910" t="s">
        <v>1337</v>
      </c>
      <c r="AW6" s="910" t="s">
        <v>1338</v>
      </c>
      <c r="AX6" s="910" t="s">
        <v>1338</v>
      </c>
      <c r="BB6" s="910" t="s">
        <v>1339</v>
      </c>
      <c r="BC6" s="910" t="s">
        <v>1320</v>
      </c>
      <c r="BE6" s="910" t="n">
        <v>2004</v>
      </c>
      <c r="BF6" s="910" t="s">
        <v>1340</v>
      </c>
      <c r="BH6" s="912" t="s">
        <v>1341</v>
      </c>
      <c r="BJ6" s="912" t="s">
        <v>1342</v>
      </c>
      <c r="BL6" s="912" t="s">
        <v>1342</v>
      </c>
      <c r="BN6" s="912" t="s">
        <v>1343</v>
      </c>
      <c r="BQ6" s="910" t="n">
        <v>4213784</v>
      </c>
      <c r="BR6" s="916" t="s">
        <v>1251</v>
      </c>
      <c r="BS6" s="917"/>
      <c r="BT6" s="910" t="n">
        <v>64236872</v>
      </c>
      <c r="BU6" s="912" t="s">
        <v>231</v>
      </c>
      <c r="BV6" s="227"/>
      <c r="BW6" s="910" t="n">
        <v>4213768</v>
      </c>
      <c r="BX6" s="912" t="s">
        <v>251</v>
      </c>
      <c r="BZ6" s="910" t="n">
        <v>64237510</v>
      </c>
      <c r="CA6" s="912" t="s">
        <v>1344</v>
      </c>
    </row>
    <row r="7" customFormat="false" ht="11.25" hidden="false" customHeight="true" outlineLevel="0" collapsed="false">
      <c r="A7" s="136" t="s">
        <v>1345</v>
      </c>
      <c r="B7" s="897" t="n">
        <v>2005</v>
      </c>
      <c r="E7" s="898" t="s">
        <v>1346</v>
      </c>
      <c r="F7" s="177"/>
      <c r="H7" s="898" t="s">
        <v>1347</v>
      </c>
      <c r="I7" s="898" t="s">
        <v>90</v>
      </c>
      <c r="J7" s="898" t="s">
        <v>1348</v>
      </c>
      <c r="N7" s="918" t="s">
        <v>1349</v>
      </c>
      <c r="O7" s="898" t="s">
        <v>1350</v>
      </c>
      <c r="U7" s="899" t="s">
        <v>19</v>
      </c>
      <c r="V7" s="919" t="s">
        <v>90</v>
      </c>
      <c r="W7" s="906"/>
      <c r="X7" s="897" t="s">
        <v>177</v>
      </c>
      <c r="Y7" s="897" t="s">
        <v>1311</v>
      </c>
      <c r="Z7" s="100"/>
      <c r="AA7" s="750"/>
      <c r="AH7" s="898" t="s">
        <v>1351</v>
      </c>
      <c r="AK7" s="898" t="s">
        <v>1352</v>
      </c>
      <c r="AM7" s="898" t="s">
        <v>1353</v>
      </c>
      <c r="AP7" s="690" t="s">
        <v>177</v>
      </c>
      <c r="AQ7" s="909" t="s">
        <v>177</v>
      </c>
      <c r="AU7" s="910" t="s">
        <v>1354</v>
      </c>
      <c r="AW7" s="910" t="s">
        <v>1355</v>
      </c>
      <c r="AX7" s="910" t="s">
        <v>1355</v>
      </c>
      <c r="AZ7" s="888" t="s">
        <v>1356</v>
      </c>
      <c r="BB7" s="910" t="s">
        <v>1357</v>
      </c>
      <c r="BC7" s="910" t="s">
        <v>1320</v>
      </c>
      <c r="BE7" s="910" t="n">
        <v>2005</v>
      </c>
      <c r="BF7" s="910" t="s">
        <v>1358</v>
      </c>
      <c r="BH7" s="912" t="s">
        <v>1359</v>
      </c>
      <c r="BJ7" s="912" t="s">
        <v>1341</v>
      </c>
      <c r="BL7" s="912" t="s">
        <v>1341</v>
      </c>
      <c r="BN7" s="912" t="s">
        <v>1360</v>
      </c>
      <c r="BQ7" s="910" t="n">
        <v>4213781</v>
      </c>
      <c r="BR7" s="912" t="s">
        <v>1244</v>
      </c>
      <c r="BS7" s="915"/>
      <c r="BT7" s="910" t="n">
        <v>64236873</v>
      </c>
      <c r="BU7" s="912" t="s">
        <v>236</v>
      </c>
      <c r="BV7" s="227"/>
      <c r="BW7" s="910" t="n">
        <v>4213769</v>
      </c>
      <c r="BX7" s="912" t="s">
        <v>1361</v>
      </c>
      <c r="BZ7" s="910" t="n">
        <v>64237511</v>
      </c>
      <c r="CA7" s="912" t="s">
        <v>266</v>
      </c>
    </row>
    <row r="8" customFormat="false" ht="11.25" hidden="false" customHeight="true" outlineLevel="0" collapsed="false">
      <c r="A8" s="136" t="s">
        <v>1362</v>
      </c>
      <c r="B8" s="897" t="n">
        <v>2006</v>
      </c>
      <c r="E8" s="898" t="s">
        <v>1363</v>
      </c>
      <c r="F8" s="177"/>
      <c r="H8" s="898" t="s">
        <v>1364</v>
      </c>
      <c r="I8" s="898" t="s">
        <v>91</v>
      </c>
      <c r="J8" s="898" t="s">
        <v>1365</v>
      </c>
      <c r="N8" s="920" t="s">
        <v>1366</v>
      </c>
      <c r="O8" s="898" t="s">
        <v>1367</v>
      </c>
      <c r="V8" s="919" t="s">
        <v>91</v>
      </c>
      <c r="W8" s="906"/>
      <c r="X8" s="897" t="s">
        <v>183</v>
      </c>
      <c r="Y8" s="897" t="s">
        <v>1311</v>
      </c>
      <c r="Z8" s="100"/>
      <c r="AA8" s="750"/>
      <c r="AK8" s="898" t="s">
        <v>1368</v>
      </c>
      <c r="AP8" s="690" t="s">
        <v>183</v>
      </c>
      <c r="AQ8" s="909" t="s">
        <v>183</v>
      </c>
      <c r="AU8" s="910" t="s">
        <v>1369</v>
      </c>
      <c r="AW8" s="910" t="s">
        <v>1370</v>
      </c>
      <c r="AX8" s="910" t="s">
        <v>1370</v>
      </c>
      <c r="AZ8" s="910" t="s">
        <v>1371</v>
      </c>
      <c r="BB8" s="910" t="s">
        <v>1372</v>
      </c>
      <c r="BC8" s="910" t="s">
        <v>1320</v>
      </c>
      <c r="BE8" s="910" t="n">
        <v>2006</v>
      </c>
      <c r="BF8" s="910" t="s">
        <v>1373</v>
      </c>
      <c r="BH8" s="912" t="s">
        <v>1374</v>
      </c>
      <c r="BJ8" s="912" t="s">
        <v>1375</v>
      </c>
      <c r="BL8" s="912" t="s">
        <v>1375</v>
      </c>
      <c r="BN8" s="912" t="s">
        <v>1376</v>
      </c>
      <c r="BQ8" s="910" t="n">
        <v>4213776</v>
      </c>
      <c r="BR8" s="912" t="s">
        <v>165</v>
      </c>
      <c r="BS8" s="915"/>
      <c r="BT8" s="910" t="n">
        <v>64236874</v>
      </c>
      <c r="BU8" s="916" t="s">
        <v>1377</v>
      </c>
      <c r="BV8" s="227"/>
      <c r="BW8" s="910" t="n">
        <v>4213770</v>
      </c>
      <c r="BX8" s="916" t="s">
        <v>1378</v>
      </c>
      <c r="BZ8" s="910" t="n">
        <v>64237512</v>
      </c>
      <c r="CA8" s="912" t="s">
        <v>261</v>
      </c>
    </row>
    <row r="9" customFormat="false" ht="11.25" hidden="false" customHeight="true" outlineLevel="0" collapsed="false">
      <c r="A9" s="136" t="s">
        <v>1379</v>
      </c>
      <c r="B9" s="897" t="n">
        <v>2007</v>
      </c>
      <c r="E9" s="898" t="s">
        <v>1380</v>
      </c>
      <c r="F9" s="177"/>
      <c r="G9" s="889" t="s">
        <v>1381</v>
      </c>
      <c r="H9" s="889" t="s">
        <v>1382</v>
      </c>
      <c r="I9" s="898" t="s">
        <v>110</v>
      </c>
      <c r="O9" s="898" t="s">
        <v>1383</v>
      </c>
      <c r="V9" s="919" t="s">
        <v>110</v>
      </c>
      <c r="W9" s="906"/>
      <c r="X9" s="897" t="s">
        <v>189</v>
      </c>
      <c r="Y9" s="897" t="s">
        <v>1218</v>
      </c>
      <c r="Z9" s="100" t="n">
        <v>1</v>
      </c>
      <c r="AA9" s="750"/>
      <c r="AK9" s="898" t="s">
        <v>1384</v>
      </c>
      <c r="AP9" s="690" t="s">
        <v>1385</v>
      </c>
      <c r="AQ9" s="909" t="s">
        <v>1385</v>
      </c>
      <c r="AW9" s="910" t="s">
        <v>1386</v>
      </c>
      <c r="AX9" s="910" t="s">
        <v>1386</v>
      </c>
      <c r="AZ9" s="910" t="s">
        <v>1387</v>
      </c>
      <c r="BB9" s="910" t="s">
        <v>1388</v>
      </c>
      <c r="BC9" s="910" t="s">
        <v>1320</v>
      </c>
      <c r="BE9" s="910" t="n">
        <v>2007</v>
      </c>
      <c r="BF9" s="910" t="s">
        <v>1389</v>
      </c>
      <c r="BH9" s="912" t="s">
        <v>1390</v>
      </c>
      <c r="BJ9" s="912" t="s">
        <v>1391</v>
      </c>
      <c r="BL9" s="912" t="s">
        <v>1391</v>
      </c>
      <c r="BN9" s="912" t="s">
        <v>1392</v>
      </c>
      <c r="BQ9" s="910" t="n">
        <v>4213777</v>
      </c>
      <c r="BR9" s="912" t="s">
        <v>171</v>
      </c>
      <c r="BS9" s="915"/>
      <c r="BT9" s="910" t="n">
        <v>64236875</v>
      </c>
      <c r="BU9" s="912" t="s">
        <v>241</v>
      </c>
      <c r="BV9" s="227"/>
      <c r="BW9" s="55"/>
      <c r="BX9" s="55"/>
    </row>
    <row r="10" customFormat="false" ht="11.25" hidden="false" customHeight="true" outlineLevel="0" collapsed="false">
      <c r="A10" s="136" t="s">
        <v>1393</v>
      </c>
      <c r="B10" s="897" t="n">
        <v>2008</v>
      </c>
      <c r="E10" s="898" t="s">
        <v>1394</v>
      </c>
      <c r="F10" s="177"/>
      <c r="G10" s="898" t="s">
        <v>1395</v>
      </c>
      <c r="H10" s="898" t="s">
        <v>1396</v>
      </c>
      <c r="I10" s="898" t="s">
        <v>147</v>
      </c>
      <c r="J10" s="888" t="s">
        <v>1397</v>
      </c>
      <c r="K10" s="888" t="s">
        <v>1398</v>
      </c>
      <c r="O10" s="898" t="s">
        <v>1399</v>
      </c>
      <c r="V10" s="921" t="s">
        <v>147</v>
      </c>
      <c r="W10" s="922"/>
      <c r="X10" s="922" t="s">
        <v>1400</v>
      </c>
      <c r="Y10" s="923" t="s">
        <v>1401</v>
      </c>
      <c r="Z10" s="100"/>
      <c r="AP10" s="690" t="s">
        <v>1400</v>
      </c>
      <c r="AQ10" s="909" t="s">
        <v>1400</v>
      </c>
      <c r="AW10" s="910" t="s">
        <v>1402</v>
      </c>
      <c r="AX10" s="910" t="s">
        <v>1402</v>
      </c>
      <c r="AZ10" s="910" t="s">
        <v>1403</v>
      </c>
      <c r="BB10" s="910" t="s">
        <v>1404</v>
      </c>
      <c r="BC10" s="910" t="s">
        <v>1320</v>
      </c>
      <c r="BE10" s="910" t="n">
        <v>2008</v>
      </c>
      <c r="BF10" s="910" t="s">
        <v>1405</v>
      </c>
      <c r="BH10" s="912" t="s">
        <v>1406</v>
      </c>
      <c r="BJ10" s="912" t="s">
        <v>1407</v>
      </c>
      <c r="BL10" s="912" t="s">
        <v>1407</v>
      </c>
      <c r="BN10" s="912" t="s">
        <v>1408</v>
      </c>
      <c r="BQ10" s="910" t="n">
        <v>4213778</v>
      </c>
      <c r="BR10" s="912" t="s">
        <v>177</v>
      </c>
      <c r="BS10" s="915"/>
      <c r="BT10" s="910" t="n">
        <v>64236876</v>
      </c>
      <c r="BU10" s="912" t="s">
        <v>221</v>
      </c>
      <c r="BV10" s="227"/>
      <c r="BW10" s="55"/>
      <c r="BX10" s="55"/>
    </row>
    <row r="11" customFormat="false" ht="11.25" hidden="false" customHeight="true" outlineLevel="0" collapsed="false">
      <c r="A11" s="136" t="s">
        <v>1409</v>
      </c>
      <c r="B11" s="897" t="n">
        <v>2009</v>
      </c>
      <c r="E11" s="898" t="s">
        <v>1410</v>
      </c>
      <c r="F11" s="177"/>
      <c r="G11" s="898" t="s">
        <v>1411</v>
      </c>
      <c r="H11" s="898" t="s">
        <v>1412</v>
      </c>
      <c r="I11" s="898" t="s">
        <v>148</v>
      </c>
      <c r="J11" s="898" t="s">
        <v>1413</v>
      </c>
      <c r="K11" s="924" t="s">
        <v>1414</v>
      </c>
      <c r="O11" s="898" t="s">
        <v>1415</v>
      </c>
      <c r="V11" s="919" t="s">
        <v>148</v>
      </c>
      <c r="W11" s="925"/>
      <c r="X11" s="906" t="s">
        <v>1385</v>
      </c>
      <c r="Y11" s="897" t="s">
        <v>1416</v>
      </c>
      <c r="Z11" s="100"/>
      <c r="AP11" s="690" t="s">
        <v>189</v>
      </c>
      <c r="AQ11" s="926" t="s">
        <v>189</v>
      </c>
      <c r="AW11" s="910" t="s">
        <v>1417</v>
      </c>
      <c r="AX11" s="910" t="s">
        <v>1417</v>
      </c>
      <c r="AZ11" s="910" t="s">
        <v>1418</v>
      </c>
      <c r="BB11" s="910" t="s">
        <v>1419</v>
      </c>
      <c r="BC11" s="910" t="s">
        <v>1320</v>
      </c>
      <c r="BE11" s="910" t="n">
        <v>2009</v>
      </c>
      <c r="BF11" s="910" t="s">
        <v>1420</v>
      </c>
      <c r="BH11" s="912" t="s">
        <v>1421</v>
      </c>
      <c r="BJ11" s="912" t="s">
        <v>1390</v>
      </c>
      <c r="BL11" s="912" t="s">
        <v>1390</v>
      </c>
      <c r="BN11" s="912" t="s">
        <v>1422</v>
      </c>
      <c r="BQ11" s="910" t="n">
        <v>4213780</v>
      </c>
      <c r="BR11" s="912" t="s">
        <v>183</v>
      </c>
      <c r="BS11" s="915"/>
      <c r="BW11" s="55"/>
      <c r="BX11" s="55"/>
    </row>
    <row r="12" customFormat="false" ht="11.25" hidden="false" customHeight="true" outlineLevel="0" collapsed="false">
      <c r="A12" s="136" t="s">
        <v>1423</v>
      </c>
      <c r="B12" s="897" t="n">
        <v>2010</v>
      </c>
      <c r="E12" s="898" t="s">
        <v>1424</v>
      </c>
      <c r="F12" s="177"/>
      <c r="G12" s="898" t="s">
        <v>1412</v>
      </c>
      <c r="I12" s="898" t="s">
        <v>149</v>
      </c>
      <c r="J12" s="898" t="s">
        <v>1425</v>
      </c>
      <c r="K12" s="924" t="s">
        <v>1426</v>
      </c>
      <c r="O12" s="898" t="s">
        <v>1212</v>
      </c>
      <c r="V12" s="919" t="s">
        <v>149</v>
      </c>
      <c r="W12" s="926"/>
      <c r="X12" s="906" t="s">
        <v>1427</v>
      </c>
      <c r="Y12" s="897" t="s">
        <v>1218</v>
      </c>
      <c r="AP12" s="690"/>
      <c r="AW12" s="910" t="s">
        <v>148</v>
      </c>
      <c r="AX12" s="910" t="s">
        <v>148</v>
      </c>
      <c r="AZ12" s="910" t="s">
        <v>1428</v>
      </c>
      <c r="BB12" s="910" t="s">
        <v>1429</v>
      </c>
      <c r="BC12" s="910" t="s">
        <v>1320</v>
      </c>
      <c r="BE12" s="910" t="n">
        <v>2010</v>
      </c>
      <c r="BF12" s="910" t="s">
        <v>1430</v>
      </c>
      <c r="BH12" s="912" t="s">
        <v>1431</v>
      </c>
      <c r="BJ12" s="912" t="s">
        <v>1432</v>
      </c>
      <c r="BL12" s="912" t="s">
        <v>1432</v>
      </c>
      <c r="BN12" s="912" t="s">
        <v>1433</v>
      </c>
      <c r="BQ12" s="910" t="n">
        <v>4213779</v>
      </c>
      <c r="BR12" s="912" t="s">
        <v>1385</v>
      </c>
      <c r="BS12" s="915"/>
      <c r="BT12" s="227"/>
      <c r="BU12" s="227"/>
      <c r="BV12" s="227"/>
      <c r="BW12" s="55"/>
      <c r="BX12" s="55"/>
    </row>
    <row r="13" customFormat="false" ht="11.25" hidden="false" customHeight="true" outlineLevel="0" collapsed="false">
      <c r="A13" s="136" t="s">
        <v>1434</v>
      </c>
      <c r="B13" s="897" t="n">
        <v>2011</v>
      </c>
      <c r="E13" s="898" t="s">
        <v>1435</v>
      </c>
      <c r="F13" s="177"/>
      <c r="I13" s="898" t="s">
        <v>150</v>
      </c>
      <c r="K13" s="924" t="s">
        <v>1384</v>
      </c>
      <c r="V13" s="919" t="s">
        <v>150</v>
      </c>
      <c r="W13" s="926"/>
      <c r="X13" s="926"/>
      <c r="Y13" s="926"/>
      <c r="AW13" s="910" t="s">
        <v>149</v>
      </c>
      <c r="AX13" s="910" t="s">
        <v>149</v>
      </c>
      <c r="BB13" s="910" t="s">
        <v>1436</v>
      </c>
      <c r="BC13" s="910" t="s">
        <v>1437</v>
      </c>
      <c r="BE13" s="910" t="n">
        <v>2011</v>
      </c>
      <c r="BF13" s="910" t="s">
        <v>1438</v>
      </c>
      <c r="BH13" s="912" t="s">
        <v>1439</v>
      </c>
      <c r="BJ13" s="912" t="s">
        <v>1421</v>
      </c>
      <c r="BL13" s="912" t="s">
        <v>1421</v>
      </c>
      <c r="BN13" s="912" t="s">
        <v>1440</v>
      </c>
      <c r="BQ13" s="910" t="n">
        <v>4213783</v>
      </c>
      <c r="BR13" s="912" t="s">
        <v>1400</v>
      </c>
      <c r="BS13" s="915"/>
      <c r="BT13" s="227"/>
      <c r="BU13" s="227"/>
      <c r="BV13" s="227"/>
      <c r="BW13" s="227"/>
      <c r="BX13" s="55"/>
    </row>
    <row r="14" customFormat="false" ht="11.25" hidden="false" customHeight="true" outlineLevel="0" collapsed="false">
      <c r="A14" s="136" t="s">
        <v>1441</v>
      </c>
      <c r="B14" s="897" t="n">
        <v>2012</v>
      </c>
      <c r="I14" s="898" t="s">
        <v>151</v>
      </c>
      <c r="J14" s="888" t="s">
        <v>1442</v>
      </c>
      <c r="N14" s="888" t="s">
        <v>1443</v>
      </c>
      <c r="V14" s="905" t="n">
        <v>13</v>
      </c>
      <c r="W14" s="906"/>
      <c r="X14" s="906" t="s">
        <v>1251</v>
      </c>
      <c r="Y14" s="897" t="s">
        <v>1218</v>
      </c>
      <c r="AW14" s="910" t="s">
        <v>150</v>
      </c>
      <c r="AX14" s="910" t="s">
        <v>150</v>
      </c>
      <c r="AZ14" s="888" t="s">
        <v>1444</v>
      </c>
      <c r="BB14" s="910" t="s">
        <v>1445</v>
      </c>
      <c r="BC14" s="910" t="s">
        <v>1437</v>
      </c>
      <c r="BE14" s="910" t="n">
        <v>2012</v>
      </c>
      <c r="BH14" s="912" t="s">
        <v>1360</v>
      </c>
      <c r="BJ14" s="927" t="s">
        <v>1446</v>
      </c>
      <c r="BL14" s="927" t="s">
        <v>1446</v>
      </c>
      <c r="BN14" s="912" t="s">
        <v>1447</v>
      </c>
      <c r="BQ14" s="910" t="n">
        <v>4213782</v>
      </c>
      <c r="BR14" s="912" t="s">
        <v>189</v>
      </c>
      <c r="BS14" s="915"/>
      <c r="BT14" s="227"/>
      <c r="BU14" s="227"/>
      <c r="BV14" s="227"/>
      <c r="BW14" s="227"/>
      <c r="BX14" s="55"/>
    </row>
    <row r="15" customFormat="false" ht="19.5" hidden="false" customHeight="true" outlineLevel="0" collapsed="false">
      <c r="A15" s="136" t="s">
        <v>1448</v>
      </c>
      <c r="B15" s="897" t="n">
        <v>2013</v>
      </c>
      <c r="E15" s="928" t="s">
        <v>1449</v>
      </c>
      <c r="G15" s="889" t="s">
        <v>1450</v>
      </c>
      <c r="H15" s="889" t="s">
        <v>1451</v>
      </c>
      <c r="I15" s="899" t="s">
        <v>152</v>
      </c>
      <c r="J15" s="926" t="s">
        <v>580</v>
      </c>
      <c r="N15" s="929" t="s">
        <v>1452</v>
      </c>
      <c r="X15" s="690"/>
      <c r="AW15" s="910" t="s">
        <v>151</v>
      </c>
      <c r="AX15" s="910" t="s">
        <v>151</v>
      </c>
      <c r="AZ15" s="910" t="s">
        <v>1371</v>
      </c>
      <c r="BB15" s="910" t="s">
        <v>1453</v>
      </c>
      <c r="BC15" s="910" t="s">
        <v>1437</v>
      </c>
      <c r="BE15" s="910" t="n">
        <v>2013</v>
      </c>
      <c r="BH15" s="912" t="s">
        <v>1376</v>
      </c>
      <c r="BJ15" s="927" t="s">
        <v>1454</v>
      </c>
      <c r="BL15" s="927" t="s">
        <v>1454</v>
      </c>
      <c r="BN15" s="912" t="s">
        <v>1455</v>
      </c>
      <c r="BR15" s="227"/>
      <c r="BS15" s="227"/>
      <c r="BT15" s="227"/>
      <c r="BU15" s="227"/>
      <c r="BV15" s="227"/>
      <c r="BW15" s="227"/>
      <c r="BX15" s="55"/>
    </row>
    <row r="16" customFormat="false" ht="21" hidden="false" customHeight="true" outlineLevel="0" collapsed="false">
      <c r="A16" s="930" t="s">
        <v>1456</v>
      </c>
      <c r="B16" s="897" t="n">
        <v>2014</v>
      </c>
      <c r="E16" s="931" t="s">
        <v>1457</v>
      </c>
      <c r="G16" s="898" t="s">
        <v>1458</v>
      </c>
      <c r="H16" s="898" t="s">
        <v>1459</v>
      </c>
      <c r="I16" s="899" t="s">
        <v>1460</v>
      </c>
      <c r="J16" s="926" t="s">
        <v>553</v>
      </c>
      <c r="N16" s="929" t="s">
        <v>1461</v>
      </c>
      <c r="AW16" s="910" t="s">
        <v>152</v>
      </c>
      <c r="AX16" s="910" t="s">
        <v>152</v>
      </c>
      <c r="AZ16" s="910" t="s">
        <v>1387</v>
      </c>
      <c r="BB16" s="910" t="s">
        <v>1462</v>
      </c>
      <c r="BC16" s="910" t="s">
        <v>1437</v>
      </c>
      <c r="BE16" s="910" t="n">
        <v>2014</v>
      </c>
      <c r="BH16" s="912" t="s">
        <v>1392</v>
      </c>
      <c r="BJ16" s="927" t="s">
        <v>1463</v>
      </c>
      <c r="BL16" s="927" t="s">
        <v>1463</v>
      </c>
      <c r="BN16" s="912" t="s">
        <v>1464</v>
      </c>
      <c r="BR16" s="227"/>
      <c r="BS16" s="227"/>
      <c r="BT16" s="227"/>
      <c r="BU16" s="227"/>
      <c r="BV16" s="227"/>
      <c r="BW16" s="227"/>
      <c r="BX16" s="55"/>
    </row>
    <row r="17" customFormat="false" ht="21" hidden="false" customHeight="true" outlineLevel="0" collapsed="false">
      <c r="A17" s="136" t="s">
        <v>1465</v>
      </c>
      <c r="B17" s="897" t="n">
        <v>2015</v>
      </c>
      <c r="G17" s="898" t="s">
        <v>1412</v>
      </c>
      <c r="H17" s="898" t="s">
        <v>1412</v>
      </c>
      <c r="I17" s="898" t="s">
        <v>1466</v>
      </c>
      <c r="N17" s="929" t="s">
        <v>1467</v>
      </c>
      <c r="X17" s="690"/>
      <c r="AW17" s="910" t="s">
        <v>1460</v>
      </c>
      <c r="AX17" s="910" t="s">
        <v>1460</v>
      </c>
      <c r="AZ17" s="910" t="s">
        <v>1468</v>
      </c>
      <c r="BB17" s="910" t="s">
        <v>1469</v>
      </c>
      <c r="BC17" s="910" t="s">
        <v>1320</v>
      </c>
      <c r="BE17" s="910" t="n">
        <v>2015</v>
      </c>
      <c r="BH17" s="912" t="s">
        <v>1408</v>
      </c>
      <c r="BJ17" s="927" t="s">
        <v>1470</v>
      </c>
      <c r="BL17" s="927" t="s">
        <v>1470</v>
      </c>
      <c r="BN17" s="912" t="s">
        <v>1471</v>
      </c>
      <c r="BR17" s="888" t="s">
        <v>1262</v>
      </c>
      <c r="BS17" s="911"/>
      <c r="BU17" s="888" t="s">
        <v>1472</v>
      </c>
      <c r="BV17" s="227"/>
      <c r="BW17" s="55"/>
      <c r="BX17" s="888" t="s">
        <v>1473</v>
      </c>
      <c r="CA17" s="888" t="s">
        <v>1474</v>
      </c>
      <c r="CD17" s="888" t="s">
        <v>1475</v>
      </c>
    </row>
    <row r="18" customFormat="false" ht="21" hidden="false" customHeight="true" outlineLevel="0" collapsed="false">
      <c r="A18" s="136" t="s">
        <v>1476</v>
      </c>
      <c r="B18" s="897" t="n">
        <v>2016</v>
      </c>
      <c r="E18" s="889" t="s">
        <v>1477</v>
      </c>
      <c r="I18" s="898" t="s">
        <v>1478</v>
      </c>
      <c r="N18" s="929" t="s">
        <v>1479</v>
      </c>
      <c r="X18" s="690"/>
      <c r="AW18" s="910" t="s">
        <v>1466</v>
      </c>
      <c r="AX18" s="910" t="s">
        <v>1466</v>
      </c>
      <c r="BB18" s="910" t="s">
        <v>1480</v>
      </c>
      <c r="BC18" s="910" t="s">
        <v>1320</v>
      </c>
      <c r="BE18" s="910" t="n">
        <v>2016</v>
      </c>
      <c r="BH18" s="912" t="s">
        <v>1422</v>
      </c>
      <c r="BJ18" s="927" t="s">
        <v>1481</v>
      </c>
      <c r="BL18" s="927" t="s">
        <v>1481</v>
      </c>
      <c r="BN18" s="912" t="s">
        <v>1482</v>
      </c>
      <c r="BQ18" s="913" t="s">
        <v>1292</v>
      </c>
      <c r="BR18" s="690" t="s">
        <v>1293</v>
      </c>
      <c r="BS18" s="690"/>
      <c r="BT18" s="913" t="s">
        <v>1483</v>
      </c>
      <c r="BU18" s="690" t="s">
        <v>1484</v>
      </c>
      <c r="BV18" s="227"/>
      <c r="BW18" s="913" t="s">
        <v>1485</v>
      </c>
      <c r="BX18" s="690" t="s">
        <v>1486</v>
      </c>
      <c r="BZ18" s="913" t="s">
        <v>1487</v>
      </c>
      <c r="CA18" s="690" t="s">
        <v>1488</v>
      </c>
      <c r="CC18" s="913" t="s">
        <v>1489</v>
      </c>
      <c r="CD18" s="690" t="s">
        <v>1490</v>
      </c>
    </row>
    <row r="19" customFormat="false" ht="21" hidden="false" customHeight="true" outlineLevel="0" collapsed="false">
      <c r="A19" s="930" t="s">
        <v>1491</v>
      </c>
      <c r="B19" s="897" t="n">
        <v>2017</v>
      </c>
      <c r="E19" s="136" t="s">
        <v>164</v>
      </c>
      <c r="I19" s="898" t="s">
        <v>1492</v>
      </c>
      <c r="N19" s="929" t="s">
        <v>1493</v>
      </c>
      <c r="X19" s="690"/>
      <c r="AW19" s="910" t="s">
        <v>1478</v>
      </c>
      <c r="AX19" s="910" t="s">
        <v>1478</v>
      </c>
      <c r="AZ19" s="888" t="s">
        <v>1494</v>
      </c>
      <c r="BB19" s="910" t="s">
        <v>1495</v>
      </c>
      <c r="BC19" s="910" t="s">
        <v>1320</v>
      </c>
      <c r="BE19" s="910" t="n">
        <v>2017</v>
      </c>
      <c r="BH19" s="912" t="s">
        <v>1496</v>
      </c>
      <c r="BJ19" s="927" t="s">
        <v>1497</v>
      </c>
      <c r="BL19" s="927" t="s">
        <v>1497</v>
      </c>
      <c r="BQ19" s="910" t="n">
        <v>4190064</v>
      </c>
      <c r="BR19" s="912" t="s">
        <v>1498</v>
      </c>
      <c r="BS19" s="915"/>
      <c r="BT19" s="910" t="n">
        <v>4189671</v>
      </c>
      <c r="BU19" s="912" t="s">
        <v>1499</v>
      </c>
      <c r="BV19" s="227"/>
      <c r="BW19" s="910" t="n">
        <v>4189706</v>
      </c>
      <c r="BX19" s="912" t="s">
        <v>1500</v>
      </c>
      <c r="BZ19" s="910" t="n">
        <v>4189714</v>
      </c>
      <c r="CA19" s="912" t="s">
        <v>1501</v>
      </c>
      <c r="CC19" s="910" t="n">
        <v>4189708</v>
      </c>
      <c r="CD19" s="912" t="s">
        <v>1502</v>
      </c>
    </row>
    <row r="20" customFormat="false" ht="21" hidden="false" customHeight="true" outlineLevel="0" collapsed="false">
      <c r="A20" s="136" t="s">
        <v>1503</v>
      </c>
      <c r="B20" s="897" t="n">
        <v>2018</v>
      </c>
      <c r="E20" s="136" t="s">
        <v>1251</v>
      </c>
      <c r="I20" s="898" t="s">
        <v>1504</v>
      </c>
      <c r="N20" s="929" t="s">
        <v>1505</v>
      </c>
      <c r="AW20" s="910" t="s">
        <v>1492</v>
      </c>
      <c r="AX20" s="910" t="s">
        <v>1492</v>
      </c>
      <c r="AZ20" s="910" t="s">
        <v>1506</v>
      </c>
      <c r="BB20" s="910" t="s">
        <v>1507</v>
      </c>
      <c r="BC20" s="910" t="s">
        <v>1437</v>
      </c>
      <c r="BE20" s="910" t="n">
        <v>2018</v>
      </c>
      <c r="BH20" s="912" t="s">
        <v>1433</v>
      </c>
      <c r="BJ20" s="912" t="s">
        <v>1360</v>
      </c>
      <c r="BL20" s="912" t="s">
        <v>1360</v>
      </c>
      <c r="BQ20" s="910" t="n">
        <v>4190065</v>
      </c>
      <c r="BR20" s="912" t="s">
        <v>1508</v>
      </c>
      <c r="BS20" s="915"/>
      <c r="BT20" s="910" t="n">
        <v>4189672</v>
      </c>
      <c r="BU20" s="912" t="s">
        <v>1509</v>
      </c>
      <c r="BV20" s="227"/>
      <c r="BW20" s="910" t="n">
        <v>4189705</v>
      </c>
      <c r="BX20" s="912" t="s">
        <v>1510</v>
      </c>
      <c r="BZ20" s="910" t="n">
        <v>4189713</v>
      </c>
      <c r="CA20" s="912" t="s">
        <v>1510</v>
      </c>
      <c r="CC20" s="910" t="n">
        <v>4189709</v>
      </c>
      <c r="CD20" s="912" t="s">
        <v>1511</v>
      </c>
    </row>
    <row r="21" customFormat="false" ht="21" hidden="false" customHeight="true" outlineLevel="0" collapsed="false">
      <c r="A21" s="136" t="s">
        <v>1512</v>
      </c>
      <c r="B21" s="897" t="n">
        <v>2019</v>
      </c>
      <c r="I21" s="898" t="s">
        <v>1513</v>
      </c>
      <c r="N21" s="929" t="s">
        <v>1514</v>
      </c>
      <c r="AW21" s="910" t="s">
        <v>1504</v>
      </c>
      <c r="AX21" s="910" t="s">
        <v>1504</v>
      </c>
      <c r="AZ21" s="910" t="s">
        <v>1515</v>
      </c>
      <c r="BB21" s="910" t="s">
        <v>1516</v>
      </c>
      <c r="BC21" s="910" t="s">
        <v>1320</v>
      </c>
      <c r="BE21" s="910" t="n">
        <v>2019</v>
      </c>
      <c r="BH21" s="912" t="s">
        <v>1440</v>
      </c>
      <c r="BJ21" s="912" t="s">
        <v>1376</v>
      </c>
      <c r="BL21" s="912" t="s">
        <v>1376</v>
      </c>
      <c r="BQ21" s="910" t="n">
        <v>4190066</v>
      </c>
      <c r="BR21" s="912" t="s">
        <v>1517</v>
      </c>
      <c r="BS21" s="915"/>
      <c r="BT21" s="910" t="n">
        <v>4189673</v>
      </c>
      <c r="BU21" s="912" t="s">
        <v>1518</v>
      </c>
      <c r="BV21" s="227"/>
      <c r="BW21" s="910" t="n">
        <v>4189707</v>
      </c>
      <c r="BX21" s="912" t="s">
        <v>1519</v>
      </c>
      <c r="BZ21" s="910" t="n">
        <v>4189712</v>
      </c>
      <c r="CA21" s="912" t="s">
        <v>1520</v>
      </c>
      <c r="CC21" s="910" t="n">
        <v>4189710</v>
      </c>
      <c r="CD21" s="912" t="s">
        <v>1521</v>
      </c>
    </row>
    <row r="22" customFormat="false" ht="21" hidden="false" customHeight="true" outlineLevel="0" collapsed="false">
      <c r="A22" s="136" t="s">
        <v>1522</v>
      </c>
      <c r="B22" s="897" t="n">
        <v>2020</v>
      </c>
      <c r="N22" s="929" t="s">
        <v>1523</v>
      </c>
      <c r="AW22" s="910" t="s">
        <v>1513</v>
      </c>
      <c r="AX22" s="910" t="s">
        <v>1513</v>
      </c>
      <c r="AZ22" s="910" t="s">
        <v>1524</v>
      </c>
      <c r="BB22" s="910" t="s">
        <v>1525</v>
      </c>
      <c r="BC22" s="910" t="s">
        <v>1320</v>
      </c>
      <c r="BE22" s="910" t="n">
        <v>2020</v>
      </c>
      <c r="BH22" s="912" t="s">
        <v>1447</v>
      </c>
      <c r="BJ22" s="912" t="s">
        <v>1392</v>
      </c>
      <c r="BL22" s="912" t="s">
        <v>1392</v>
      </c>
      <c r="BQ22" s="910" t="n">
        <v>4190067</v>
      </c>
      <c r="BR22" s="912" t="s">
        <v>1526</v>
      </c>
      <c r="BS22" s="915"/>
      <c r="BT22" s="910" t="n">
        <v>4189674</v>
      </c>
      <c r="BU22" s="912" t="s">
        <v>1527</v>
      </c>
      <c r="BV22" s="227"/>
      <c r="BW22" s="227"/>
      <c r="CC22" s="910" t="n">
        <v>4189711</v>
      </c>
      <c r="CD22" s="912" t="s">
        <v>290</v>
      </c>
    </row>
    <row r="23" customFormat="false" ht="21" hidden="false" customHeight="true" outlineLevel="0" collapsed="false">
      <c r="A23" s="136" t="s">
        <v>1528</v>
      </c>
      <c r="B23" s="897" t="n">
        <v>2021</v>
      </c>
      <c r="AW23" s="910" t="s">
        <v>1529</v>
      </c>
      <c r="AX23" s="910" t="s">
        <v>1529</v>
      </c>
      <c r="AZ23" s="910" t="s">
        <v>1530</v>
      </c>
      <c r="BB23" s="910" t="s">
        <v>1531</v>
      </c>
      <c r="BC23" s="910" t="s">
        <v>1229</v>
      </c>
      <c r="BE23" s="910" t="n">
        <v>2021</v>
      </c>
      <c r="BH23" s="912" t="s">
        <v>1455</v>
      </c>
      <c r="BJ23" s="912" t="s">
        <v>1408</v>
      </c>
      <c r="BL23" s="912" t="s">
        <v>1408</v>
      </c>
      <c r="BQ23" s="910" t="n">
        <v>4190068</v>
      </c>
      <c r="BR23" s="912" t="s">
        <v>1532</v>
      </c>
      <c r="BS23" s="915"/>
      <c r="BT23" s="910" t="n">
        <v>4189675</v>
      </c>
      <c r="BU23" s="912" t="s">
        <v>1533</v>
      </c>
      <c r="BV23" s="227"/>
      <c r="BW23" s="227"/>
      <c r="CC23" s="910" t="n">
        <v>5110778</v>
      </c>
      <c r="CD23" s="912" t="s">
        <v>1534</v>
      </c>
    </row>
    <row r="24" customFormat="false" ht="21" hidden="false" customHeight="true" outlineLevel="0" collapsed="false">
      <c r="A24" s="136" t="s">
        <v>1535</v>
      </c>
      <c r="B24" s="897" t="n">
        <v>2022</v>
      </c>
      <c r="AW24" s="910" t="s">
        <v>1536</v>
      </c>
      <c r="AX24" s="910" t="s">
        <v>1536</v>
      </c>
      <c r="AZ24" s="910" t="s">
        <v>1537</v>
      </c>
      <c r="BB24" s="910" t="s">
        <v>1538</v>
      </c>
      <c r="BC24" s="910" t="s">
        <v>1539</v>
      </c>
      <c r="BE24" s="910" t="n">
        <v>2022</v>
      </c>
      <c r="BH24" s="912" t="s">
        <v>1464</v>
      </c>
      <c r="BJ24" s="912" t="s">
        <v>1422</v>
      </c>
      <c r="BL24" s="912" t="s">
        <v>1422</v>
      </c>
      <c r="BQ24" s="910" t="n">
        <v>4190069</v>
      </c>
      <c r="BR24" s="912" t="s">
        <v>1540</v>
      </c>
      <c r="BS24" s="915"/>
      <c r="BT24" s="910" t="n">
        <v>4189676</v>
      </c>
      <c r="BU24" s="912" t="s">
        <v>1541</v>
      </c>
      <c r="BV24" s="227"/>
      <c r="BW24" s="227"/>
      <c r="CC24" s="910" t="n">
        <v>25575374</v>
      </c>
      <c r="CD24" s="912" t="s">
        <v>1542</v>
      </c>
    </row>
    <row r="25" customFormat="false" ht="11.25" hidden="false" customHeight="true" outlineLevel="0" collapsed="false">
      <c r="A25" s="136" t="s">
        <v>1543</v>
      </c>
      <c r="B25" s="897" t="n">
        <v>2023</v>
      </c>
      <c r="AW25" s="910" t="s">
        <v>1544</v>
      </c>
      <c r="AX25" s="910" t="s">
        <v>1544</v>
      </c>
      <c r="AZ25" s="910" t="s">
        <v>1545</v>
      </c>
      <c r="BB25" s="910" t="s">
        <v>1546</v>
      </c>
      <c r="BC25" s="910" t="s">
        <v>1539</v>
      </c>
      <c r="BE25" s="910" t="n">
        <v>2023</v>
      </c>
      <c r="BH25" s="912" t="s">
        <v>1471</v>
      </c>
      <c r="BJ25" s="912" t="s">
        <v>1496</v>
      </c>
      <c r="BL25" s="912" t="s">
        <v>1496</v>
      </c>
      <c r="BQ25" s="910" t="n">
        <v>4190070</v>
      </c>
      <c r="BR25" s="912" t="s">
        <v>1547</v>
      </c>
      <c r="BS25" s="915"/>
      <c r="BT25" s="910" t="n">
        <v>4189677</v>
      </c>
      <c r="BU25" s="912" t="s">
        <v>1548</v>
      </c>
      <c r="BV25" s="227"/>
      <c r="BW25" s="227"/>
    </row>
    <row r="26" customFormat="false" ht="11.25" hidden="false" customHeight="true" outlineLevel="0" collapsed="false">
      <c r="A26" s="136" t="s">
        <v>1549</v>
      </c>
      <c r="B26" s="897" t="n">
        <v>2024</v>
      </c>
      <c r="J26" s="932" t="s">
        <v>1550</v>
      </c>
      <c r="AX26" s="910" t="s">
        <v>1551</v>
      </c>
      <c r="AZ26" s="910" t="s">
        <v>1415</v>
      </c>
      <c r="BB26" s="910" t="s">
        <v>1552</v>
      </c>
      <c r="BC26" s="910" t="s">
        <v>1539</v>
      </c>
      <c r="BE26" s="910" t="n">
        <v>2024</v>
      </c>
      <c r="BH26" s="912" t="s">
        <v>1482</v>
      </c>
      <c r="BJ26" s="912" t="s">
        <v>1433</v>
      </c>
      <c r="BL26" s="912" t="s">
        <v>1433</v>
      </c>
      <c r="BQ26" s="910" t="n">
        <v>4190071</v>
      </c>
      <c r="BR26" s="912" t="s">
        <v>1553</v>
      </c>
      <c r="BS26" s="915"/>
      <c r="BV26" s="227"/>
      <c r="BW26" s="227"/>
    </row>
    <row r="27" customFormat="false" ht="11.25" hidden="false" customHeight="true" outlineLevel="0" collapsed="false">
      <c r="A27" s="136" t="s">
        <v>1554</v>
      </c>
      <c r="B27" s="897" t="n">
        <v>2025</v>
      </c>
      <c r="J27" s="142" t="s">
        <v>686</v>
      </c>
      <c r="AX27" s="910" t="s">
        <v>1555</v>
      </c>
      <c r="BB27" s="910" t="s">
        <v>1556</v>
      </c>
      <c r="BC27" s="910" t="s">
        <v>1539</v>
      </c>
      <c r="BE27" s="910" t="n">
        <v>2025</v>
      </c>
      <c r="BJ27" s="912" t="s">
        <v>1440</v>
      </c>
      <c r="BL27" s="912" t="s">
        <v>1440</v>
      </c>
      <c r="BQ27" s="910" t="n">
        <v>4190072</v>
      </c>
      <c r="BR27" s="912" t="s">
        <v>1557</v>
      </c>
      <c r="BS27" s="915"/>
      <c r="BV27" s="227"/>
      <c r="BW27" s="227"/>
    </row>
    <row r="28" customFormat="false" ht="11.25" hidden="false" customHeight="true" outlineLevel="0" collapsed="false">
      <c r="A28" s="136" t="s">
        <v>1558</v>
      </c>
      <c r="D28" s="136"/>
      <c r="E28" s="933"/>
      <c r="F28" s="933"/>
      <c r="H28" s="225" t="s">
        <v>1559</v>
      </c>
      <c r="AX28" s="910" t="s">
        <v>1560</v>
      </c>
      <c r="AZ28" s="888" t="s">
        <v>1561</v>
      </c>
      <c r="BB28" s="910" t="s">
        <v>1562</v>
      </c>
      <c r="BC28" s="910" t="s">
        <v>1563</v>
      </c>
      <c r="BE28" s="910" t="n">
        <v>2026</v>
      </c>
      <c r="BJ28" s="912" t="s">
        <v>1447</v>
      </c>
      <c r="BL28" s="912" t="s">
        <v>1447</v>
      </c>
      <c r="BQ28" s="910" t="n">
        <v>4190073</v>
      </c>
      <c r="BR28" s="912" t="s">
        <v>1564</v>
      </c>
      <c r="BS28" s="915"/>
      <c r="BV28" s="227"/>
      <c r="BW28" s="227"/>
    </row>
    <row r="29" customFormat="false" ht="11.25" hidden="false" customHeight="true" outlineLevel="0" collapsed="false">
      <c r="A29" s="136" t="s">
        <v>1565</v>
      </c>
      <c r="D29" s="934" t="s">
        <v>1566</v>
      </c>
      <c r="E29" s="935" t="e">
        <f aca="false">IF(TEMPLATE_GROUP="","",INDEX(StartDateList,MATCH(TEMPLATE_GROUP,CodeTemplateList,0),1))</f>
        <v>#NAME?</v>
      </c>
      <c r="F29" s="935" t="e">
        <f aca="false">IF(TEMPLATE_GROUP="","",INDEX(EndDateList,MATCH(TEMPLATE_GROUP,CodeTemplateList,0),1))</f>
        <v>#NAME?</v>
      </c>
      <c r="H29" s="936" t="s">
        <v>1567</v>
      </c>
      <c r="AX29" s="910" t="s">
        <v>1568</v>
      </c>
      <c r="AZ29" s="910" t="s">
        <v>1213</v>
      </c>
      <c r="BB29" s="910" t="s">
        <v>1415</v>
      </c>
      <c r="BC29" s="100"/>
      <c r="BE29" s="910" t="n">
        <v>2027</v>
      </c>
      <c r="BJ29" s="912" t="s">
        <v>1455</v>
      </c>
      <c r="BL29" s="912" t="s">
        <v>1455</v>
      </c>
    </row>
    <row r="30" customFormat="false" ht="11.25" hidden="false" customHeight="true" outlineLevel="0" collapsed="false">
      <c r="A30" s="136" t="s">
        <v>1569</v>
      </c>
      <c r="D30" s="937"/>
      <c r="E30" s="938"/>
      <c r="F30" s="938"/>
      <c r="AX30" s="910" t="s">
        <v>1570</v>
      </c>
      <c r="AZ30" s="910" t="s">
        <v>1240</v>
      </c>
      <c r="BE30" s="910" t="n">
        <v>2028</v>
      </c>
      <c r="BJ30" s="912" t="s">
        <v>1571</v>
      </c>
      <c r="BL30" s="912" t="s">
        <v>1571</v>
      </c>
    </row>
    <row r="31" customFormat="false" ht="12.75" hidden="false" customHeight="true" outlineLevel="0" collapsed="false">
      <c r="A31" s="136" t="s">
        <v>1572</v>
      </c>
      <c r="D31" s="136"/>
      <c r="E31" s="933"/>
      <c r="F31" s="933"/>
      <c r="H31" s="939"/>
      <c r="AX31" s="910" t="s">
        <v>1573</v>
      </c>
      <c r="AZ31" s="910" t="s">
        <v>1574</v>
      </c>
      <c r="BE31" s="910" t="n">
        <v>2029</v>
      </c>
      <c r="BJ31" s="912" t="s">
        <v>1575</v>
      </c>
      <c r="BL31" s="912" t="s">
        <v>1575</v>
      </c>
    </row>
    <row r="32" customFormat="false" ht="11.25" hidden="false" customHeight="true" outlineLevel="0" collapsed="false">
      <c r="A32" s="136" t="s">
        <v>1576</v>
      </c>
      <c r="D32" s="934" t="s">
        <v>1577</v>
      </c>
      <c r="E32" s="935" t="e">
        <f aca="false">IF(TEMPLATE_GROUP="","",INDEX(StartDateList,MATCH(TEMPLATE_GROUP,CodeTemplateList,0),1))</f>
        <v>#NAME?</v>
      </c>
      <c r="F32" s="935" t="e">
        <f aca="false">IF(TEMPLATE_GROUP="","",INDEX(EndDateList,MATCH(TEMPLATE_GROUP,CodeTemplateList,0),1))</f>
        <v>#NAME?</v>
      </c>
      <c r="H32" s="940" t="s">
        <v>1578</v>
      </c>
      <c r="O32" s="136" t="s">
        <v>1211</v>
      </c>
      <c r="AX32" s="910" t="s">
        <v>1579</v>
      </c>
      <c r="AZ32" s="910" t="s">
        <v>1308</v>
      </c>
      <c r="BE32" s="910" t="n">
        <v>2030</v>
      </c>
      <c r="BJ32" s="912" t="s">
        <v>1464</v>
      </c>
      <c r="BL32" s="912" t="s">
        <v>1464</v>
      </c>
    </row>
    <row r="33" customFormat="false" ht="11.25" hidden="false" customHeight="true" outlineLevel="0" collapsed="false">
      <c r="A33" s="136" t="s">
        <v>1580</v>
      </c>
      <c r="O33" s="136" t="s">
        <v>1237</v>
      </c>
      <c r="AX33" s="910" t="s">
        <v>1581</v>
      </c>
      <c r="AZ33" s="910" t="s">
        <v>1212</v>
      </c>
      <c r="BE33" s="910" t="n">
        <v>2031</v>
      </c>
      <c r="BJ33" s="912" t="s">
        <v>1471</v>
      </c>
      <c r="BL33" s="912" t="s">
        <v>1471</v>
      </c>
    </row>
    <row r="34" customFormat="false" ht="11.25" hidden="false" customHeight="true" outlineLevel="0" collapsed="false">
      <c r="A34" s="136" t="s">
        <v>1582</v>
      </c>
      <c r="O34" s="136" t="s">
        <v>1273</v>
      </c>
      <c r="AX34" s="910" t="s">
        <v>1583</v>
      </c>
      <c r="BE34" s="910" t="n">
        <v>2032</v>
      </c>
      <c r="BJ34" s="912" t="s">
        <v>1482</v>
      </c>
      <c r="BL34" s="912" t="s">
        <v>1482</v>
      </c>
    </row>
    <row r="35" customFormat="false" ht="11.25" hidden="false" customHeight="true" outlineLevel="0" collapsed="false">
      <c r="A35" s="136" t="s">
        <v>1584</v>
      </c>
      <c r="O35" s="136" t="s">
        <v>1306</v>
      </c>
      <c r="AX35" s="910" t="s">
        <v>1585</v>
      </c>
      <c r="AZ35" s="888" t="s">
        <v>1586</v>
      </c>
      <c r="BE35" s="910" t="n">
        <v>2033</v>
      </c>
      <c r="BL35" s="912" t="s">
        <v>1587</v>
      </c>
    </row>
    <row r="36" customFormat="false" ht="11.25" hidden="false" customHeight="true" outlineLevel="0" collapsed="false">
      <c r="A36" s="930" t="s">
        <v>1588</v>
      </c>
      <c r="D36" s="941" t="s">
        <v>1589</v>
      </c>
      <c r="E36" s="942" t="s">
        <v>904</v>
      </c>
      <c r="F36" s="909" t="str">
        <f aca="false">INDEX(E37:E41,MATCH(TEMPLATE_SPHERE,F37:F41,0))</f>
        <v>водоотведения</v>
      </c>
      <c r="G36" s="909" t="str">
        <f aca="false">INDEX(G37:G41,MATCH(TEMPLATE_SPHERE,F37:F41,0))</f>
        <v>водоотведение</v>
      </c>
      <c r="O36" s="136" t="s">
        <v>1331</v>
      </c>
      <c r="AX36" s="910" t="s">
        <v>1590</v>
      </c>
      <c r="AZ36" s="910" t="s">
        <v>1212</v>
      </c>
      <c r="BE36" s="910" t="n">
        <v>2034</v>
      </c>
      <c r="BL36" s="912" t="s">
        <v>1591</v>
      </c>
    </row>
    <row r="37" customFormat="false" ht="11.25" hidden="false" customHeight="true" outlineLevel="0" collapsed="false">
      <c r="A37" s="136" t="s">
        <v>1592</v>
      </c>
      <c r="E37" s="943" t="s">
        <v>1593</v>
      </c>
      <c r="F37" s="944" t="s">
        <v>805</v>
      </c>
      <c r="G37" s="943" t="s">
        <v>1594</v>
      </c>
      <c r="O37" s="136" t="s">
        <v>1350</v>
      </c>
      <c r="AX37" s="910" t="s">
        <v>1595</v>
      </c>
      <c r="AZ37" s="910" t="s">
        <v>1239</v>
      </c>
      <c r="BE37" s="910" t="n">
        <v>2035</v>
      </c>
    </row>
    <row r="38" customFormat="false" ht="11.25" hidden="false" customHeight="true" outlineLevel="0" collapsed="false">
      <c r="A38" s="136" t="s">
        <v>1596</v>
      </c>
      <c r="E38" s="943" t="s">
        <v>1597</v>
      </c>
      <c r="F38" s="945" t="s">
        <v>851</v>
      </c>
      <c r="G38" s="943" t="s">
        <v>1598</v>
      </c>
      <c r="O38" s="136" t="s">
        <v>1367</v>
      </c>
      <c r="AX38" s="910" t="s">
        <v>1599</v>
      </c>
      <c r="AZ38" s="910" t="s">
        <v>1274</v>
      </c>
      <c r="BE38" s="910" t="n">
        <v>2036</v>
      </c>
      <c r="BH38" s="888" t="s">
        <v>1600</v>
      </c>
      <c r="BJ38" s="888" t="s">
        <v>1601</v>
      </c>
      <c r="BL38" s="888" t="s">
        <v>1602</v>
      </c>
      <c r="BN38" s="888" t="s">
        <v>1603</v>
      </c>
    </row>
    <row r="39" customFormat="false" ht="11.25" hidden="false" customHeight="true" outlineLevel="0" collapsed="false">
      <c r="A39" s="136" t="s">
        <v>1604</v>
      </c>
      <c r="E39" s="943" t="s">
        <v>1605</v>
      </c>
      <c r="F39" s="945" t="s">
        <v>904</v>
      </c>
      <c r="G39" s="943" t="s">
        <v>1606</v>
      </c>
      <c r="O39" s="136" t="s">
        <v>1383</v>
      </c>
      <c r="AX39" s="910" t="s">
        <v>1607</v>
      </c>
      <c r="AZ39" s="910" t="s">
        <v>1307</v>
      </c>
      <c r="BE39" s="910" t="n">
        <v>2037</v>
      </c>
      <c r="BH39" s="912" t="s">
        <v>1608</v>
      </c>
      <c r="BJ39" s="927" t="s">
        <v>1608</v>
      </c>
      <c r="BL39" s="927" t="s">
        <v>1608</v>
      </c>
      <c r="BN39" s="912" t="s">
        <v>1609</v>
      </c>
    </row>
    <row r="40" customFormat="false" ht="11.25" hidden="false" customHeight="true" outlineLevel="0" collapsed="false">
      <c r="A40" s="136" t="s">
        <v>1610</v>
      </c>
      <c r="E40" s="943" t="s">
        <v>1611</v>
      </c>
      <c r="F40" s="945" t="s">
        <v>891</v>
      </c>
      <c r="G40" s="943" t="s">
        <v>1612</v>
      </c>
      <c r="O40" s="136" t="s">
        <v>1399</v>
      </c>
      <c r="AX40" s="910" t="s">
        <v>1613</v>
      </c>
      <c r="BE40" s="910" t="n">
        <v>2038</v>
      </c>
      <c r="BH40" s="912" t="s">
        <v>1614</v>
      </c>
      <c r="BJ40" s="927" t="s">
        <v>1024</v>
      </c>
      <c r="BL40" s="927" t="s">
        <v>1024</v>
      </c>
      <c r="BN40" s="912" t="s">
        <v>1058</v>
      </c>
    </row>
    <row r="41" customFormat="false" ht="11.25" hidden="false" customHeight="true" outlineLevel="0" collapsed="false">
      <c r="A41" s="136" t="s">
        <v>1615</v>
      </c>
      <c r="E41" s="943" t="s">
        <v>1616</v>
      </c>
      <c r="F41" s="945" t="s">
        <v>1617</v>
      </c>
      <c r="G41" s="943" t="s">
        <v>1616</v>
      </c>
      <c r="O41" s="136" t="s">
        <v>1415</v>
      </c>
      <c r="AX41" s="910" t="s">
        <v>1618</v>
      </c>
      <c r="AZ41" s="888" t="s">
        <v>1619</v>
      </c>
      <c r="BE41" s="910" t="n">
        <v>2039</v>
      </c>
      <c r="BH41" s="912" t="s">
        <v>1620</v>
      </c>
      <c r="BJ41" s="927" t="s">
        <v>1020</v>
      </c>
      <c r="BL41" s="927" t="s">
        <v>1020</v>
      </c>
      <c r="BN41" s="912" t="s">
        <v>1045</v>
      </c>
    </row>
    <row r="42" customFormat="false" ht="11.25" hidden="false" customHeight="true" outlineLevel="0" collapsed="false">
      <c r="A42" s="136" t="s">
        <v>1621</v>
      </c>
      <c r="AX42" s="910" t="s">
        <v>1622</v>
      </c>
      <c r="AZ42" s="910" t="s">
        <v>1211</v>
      </c>
      <c r="BE42" s="910" t="n">
        <v>2040</v>
      </c>
      <c r="BH42" s="912" t="s">
        <v>1042</v>
      </c>
      <c r="BJ42" s="927" t="s">
        <v>1022</v>
      </c>
      <c r="BL42" s="927" t="s">
        <v>1022</v>
      </c>
      <c r="BN42" s="912" t="s">
        <v>1623</v>
      </c>
    </row>
    <row r="43" customFormat="false" ht="11.25" hidden="false" customHeight="true" outlineLevel="0" collapsed="false">
      <c r="A43" s="136" t="s">
        <v>1624</v>
      </c>
      <c r="AX43" s="910" t="s">
        <v>1625</v>
      </c>
      <c r="AZ43" s="910" t="s">
        <v>1237</v>
      </c>
      <c r="BE43" s="910" t="n">
        <v>2041</v>
      </c>
      <c r="BH43" s="912" t="s">
        <v>1626</v>
      </c>
      <c r="BJ43" s="927" t="s">
        <v>1620</v>
      </c>
      <c r="BL43" s="927" t="s">
        <v>1620</v>
      </c>
      <c r="BN43" s="912" t="s">
        <v>1627</v>
      </c>
    </row>
    <row r="44" customFormat="false" ht="11.25" hidden="false" customHeight="true" outlineLevel="0" collapsed="false">
      <c r="A44" s="136" t="s">
        <v>1628</v>
      </c>
      <c r="G44" s="750" t="n">
        <f aca="true">YEAR(TODAY())</f>
        <v>2024</v>
      </c>
      <c r="I44" s="946" t="s">
        <v>1629</v>
      </c>
      <c r="J44" s="926" t="s">
        <v>1630</v>
      </c>
      <c r="K44" s="926" t="s">
        <v>1631</v>
      </c>
      <c r="AX44" s="910" t="s">
        <v>97</v>
      </c>
      <c r="AZ44" s="910" t="s">
        <v>1273</v>
      </c>
      <c r="BE44" s="910" t="n">
        <v>2042</v>
      </c>
      <c r="BH44" s="912" t="s">
        <v>1632</v>
      </c>
      <c r="BJ44" s="927" t="s">
        <v>1042</v>
      </c>
      <c r="BL44" s="927" t="s">
        <v>1042</v>
      </c>
      <c r="BN44" s="912" t="s">
        <v>1633</v>
      </c>
    </row>
    <row r="45" customFormat="false" ht="11.25" hidden="false" customHeight="true" outlineLevel="0" collapsed="false">
      <c r="A45" s="136" t="s">
        <v>1634</v>
      </c>
      <c r="D45" s="941" t="s">
        <v>1635</v>
      </c>
      <c r="E45" s="942" t="s">
        <v>1636</v>
      </c>
      <c r="F45" s="890" t="s">
        <v>1637</v>
      </c>
      <c r="G45" s="947" t="s">
        <v>1638</v>
      </c>
      <c r="H45" s="946" t="s">
        <v>1639</v>
      </c>
      <c r="I45" s="948" t="n">
        <f aca="false">INDEX(PeriodIsEmptyList,MATCH(TEMPLATE_GROUP,CodeTemplateList,0),1)</f>
        <v>0</v>
      </c>
      <c r="J45" s="949" t="str">
        <f aca="false">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49" t="str">
        <f aca="false">"Перечень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10" t="s">
        <v>1640</v>
      </c>
      <c r="AZ45" s="910" t="s">
        <v>1306</v>
      </c>
      <c r="BE45" s="910" t="n">
        <v>2043</v>
      </c>
      <c r="BH45" s="912" t="s">
        <v>1641</v>
      </c>
      <c r="BJ45" s="927" t="s">
        <v>1036</v>
      </c>
      <c r="BL45" s="927" t="s">
        <v>1036</v>
      </c>
      <c r="BN45" s="912" t="s">
        <v>1642</v>
      </c>
    </row>
    <row r="46" customFormat="false" ht="11.25" hidden="false" customHeight="true" outlineLevel="0" collapsed="false">
      <c r="A46" s="136" t="s">
        <v>1643</v>
      </c>
      <c r="E46" s="943" t="s">
        <v>26</v>
      </c>
      <c r="F46" s="944" t="s">
        <v>1644</v>
      </c>
      <c r="G46" s="950" t="e">
        <f aca="false">_xlfn.iferror(IF(TITLE_DATE_FIL="","01.01."&amp;CURRENT_YEAR,"01.01."&amp;YEAR(TITLE_DATE_FIL)),"01.01."&amp;CURRENT_YEAR)</f>
        <v>#NAME?</v>
      </c>
      <c r="H46" s="950" t="e">
        <f aca="false">_xlfn.iferror(IF(TITLE_DATE_FIL="","31.12."&amp;CURRENT_YEAR,"31.12."&amp;YEAR(TITLE_DATE_FIL)),"31.12."&amp;CURRENT_YEAR)</f>
        <v>#NAME?</v>
      </c>
      <c r="I46" s="951" t="n">
        <f aca="false">IF(TITLE_DATE_FIL="",TRUE(),FALSE())</f>
        <v>1</v>
      </c>
      <c r="J46" s="952" t="str">
        <f aca="false">"Общая информация о регулируемой организации ("&amp;TEMPLATE_SPHERE_RUS&amp;")"</f>
        <v>Общая информация о регулируемой организации (водоотведения)</v>
      </c>
      <c r="K46" s="953"/>
      <c r="AX46" s="910" t="s">
        <v>1645</v>
      </c>
      <c r="AZ46" s="910" t="s">
        <v>1331</v>
      </c>
      <c r="BE46" s="910" t="n">
        <v>2044</v>
      </c>
      <c r="BH46" s="912" t="s">
        <v>1045</v>
      </c>
      <c r="BJ46" s="927" t="s">
        <v>1026</v>
      </c>
      <c r="BL46" s="927" t="s">
        <v>1026</v>
      </c>
      <c r="BN46" s="912" t="s">
        <v>1646</v>
      </c>
    </row>
    <row r="47" customFormat="false" ht="11.25" hidden="false" customHeight="true" outlineLevel="0" collapsed="false">
      <c r="A47" s="136" t="s">
        <v>1647</v>
      </c>
      <c r="E47" s="943" t="s">
        <v>32</v>
      </c>
      <c r="F47" s="945" t="s">
        <v>1636</v>
      </c>
      <c r="G47" s="950" t="e">
        <f aca="false">_xlfn.iferror(IF(f_year="","01.01."&amp;CURRENT_YEAR,IF(LEN(f_quart)=0,"01.01."&amp;f_year,IF(f_quart="I квартал","01.01."&amp;f_year,IF(f_quart="II квартал","01.04."&amp;f_year,(IF(f_quart="III квартал","01.07."&amp;f_year,"01.10."&amp;f_year)))))),"01.01."&amp;CURRENT_YEAR)</f>
        <v>#NAME?</v>
      </c>
      <c r="H47" s="950" t="e">
        <f aca="false">_xlfn.iferror(IF(f_year="","31.12."&amp;CURRENT_YEAR,IF(LEN(f_quart)=0,"31.12."&amp;f_year,IF(f_quart="I квартал","31.03."&amp;f_year,IF(f_quart="II квартал","30.06."&amp;f_year,(IF(f_quart="III квартал","30.09."&amp;f_year,"31.12."&amp;f_year)))))),"31.12."&amp;CURRENT_YEAR)</f>
        <v>#NAME?</v>
      </c>
      <c r="I47" s="954" t="n">
        <f aca="false">IF(OR(f_year="",f_quart=""),TRUE(),FALSE())</f>
        <v>0</v>
      </c>
      <c r="J47" s="952" t="str">
        <f aca="false">"Информация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3"/>
      <c r="AX47" s="910" t="s">
        <v>1648</v>
      </c>
      <c r="AZ47" s="910" t="s">
        <v>1350</v>
      </c>
      <c r="BE47" s="910" t="n">
        <v>2045</v>
      </c>
      <c r="BH47" s="912" t="s">
        <v>1623</v>
      </c>
      <c r="BJ47" s="927" t="s">
        <v>1028</v>
      </c>
      <c r="BL47" s="927" t="s">
        <v>1028</v>
      </c>
      <c r="BN47" s="912" t="s">
        <v>1649</v>
      </c>
    </row>
    <row r="48" customFormat="false" ht="11.25" hidden="false" customHeight="true" outlineLevel="0" collapsed="false">
      <c r="A48" s="136" t="s">
        <v>1650</v>
      </c>
      <c r="E48" s="943" t="s">
        <v>1651</v>
      </c>
      <c r="F48" s="945" t="s">
        <v>1652</v>
      </c>
      <c r="G48" s="950" t="e">
        <f aca="false">_xlfn.iferror(IF(f_year="","01.01."&amp;CURRENT_YEAR,"01.01."&amp;f_year),"01.01."&amp;CURRENT_YEAR)</f>
        <v>#NAME?</v>
      </c>
      <c r="H48" s="950" t="e">
        <f aca="false">_xlfn.iferror(IF(f_year="","31.12."&amp;CURRENT_YEAR,"31.12."&amp;f_year),"31.12."&amp;CURRENT_YEAR)</f>
        <v>#NAME?</v>
      </c>
      <c r="I48" s="951" t="n">
        <f aca="false">IF(f_year="",TRUE(),FALSE())</f>
        <v>0</v>
      </c>
      <c r="J48" s="952" t="s">
        <v>1653</v>
      </c>
      <c r="K48" s="953"/>
      <c r="AX48" s="910" t="s">
        <v>1654</v>
      </c>
      <c r="AZ48" s="910" t="s">
        <v>1367</v>
      </c>
      <c r="BE48" s="910" t="n">
        <v>2046</v>
      </c>
      <c r="BH48" s="912" t="s">
        <v>1627</v>
      </c>
      <c r="BJ48" s="927" t="s">
        <v>1030</v>
      </c>
      <c r="BL48" s="927" t="s">
        <v>1030</v>
      </c>
      <c r="BN48" s="912" t="s">
        <v>1655</v>
      </c>
    </row>
    <row r="49" customFormat="false" ht="11.25" hidden="false" customHeight="true" outlineLevel="0" collapsed="false">
      <c r="A49" s="136" t="s">
        <v>1656</v>
      </c>
      <c r="E49" s="943" t="s">
        <v>1657</v>
      </c>
      <c r="F49" s="945" t="s">
        <v>1658</v>
      </c>
      <c r="G49" s="950" t="e">
        <f aca="false">_xlfn.iferror(IF(f_year="","01.01."&amp;CURRENT_YEAR,"01.01."&amp;f_year),"01.01."&amp;CURRENT_YEAR)</f>
        <v>#NAME?</v>
      </c>
      <c r="H49" s="950" t="e">
        <f aca="false">_xlfn.iferror(IF(f_year="","31.12."&amp;CURRENT_YEAR,"31.12."&amp;f_year),"31.12."&amp;CURRENT_YEAR)</f>
        <v>#NAME?</v>
      </c>
      <c r="I49" s="951" t="n">
        <f aca="false">IF(f_year="",TRUE(),FALSE())</f>
        <v>0</v>
      </c>
      <c r="J49" s="952" t="str">
        <f aca="false">"Информация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3"/>
      <c r="AX49" s="910" t="s">
        <v>1659</v>
      </c>
      <c r="AZ49" s="910" t="s">
        <v>1383</v>
      </c>
      <c r="BE49" s="910" t="n">
        <v>2047</v>
      </c>
      <c r="BH49" s="912" t="s">
        <v>1046</v>
      </c>
      <c r="BJ49" s="927" t="s">
        <v>1032</v>
      </c>
      <c r="BL49" s="927" t="s">
        <v>1032</v>
      </c>
    </row>
    <row r="50" customFormat="false" ht="11.25" hidden="false" customHeight="true" outlineLevel="0" collapsed="false">
      <c r="A50" s="136" t="s">
        <v>1660</v>
      </c>
      <c r="E50" s="943" t="s">
        <v>1661</v>
      </c>
      <c r="F50" s="945" t="s">
        <v>1016</v>
      </c>
      <c r="G50" s="950" t="e">
        <f aca="false">_xlfn.iferror(IF(f_year="","01.01."&amp;CURRENT_YEAR,"01.01."&amp;f_year),"01.01."&amp;CURRENT_YEAR)</f>
        <v>#NAME?</v>
      </c>
      <c r="H50" s="950" t="e">
        <f aca="false">_xlfn.iferror(IF(f_year="","31.12."&amp;CURRENT_YEAR,"31.12."&amp;f_year),"31.12."&amp;CURRENT_YEAR)</f>
        <v>#NAME?</v>
      </c>
      <c r="I50" s="951" t="n">
        <f aca="false">IF(f_year="",TRUE(),FALSE())</f>
        <v>0</v>
      </c>
      <c r="J50" s="952" t="str">
        <f aca="false">"Информация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3"/>
      <c r="AX50" s="910" t="s">
        <v>1662</v>
      </c>
      <c r="AZ50" s="910" t="s">
        <v>1399</v>
      </c>
      <c r="BE50" s="910" t="n">
        <v>2048</v>
      </c>
      <c r="BH50" s="912" t="s">
        <v>1633</v>
      </c>
      <c r="BJ50" s="927" t="s">
        <v>1034</v>
      </c>
      <c r="BL50" s="927" t="s">
        <v>1034</v>
      </c>
    </row>
    <row r="51" customFormat="false" ht="11.25" hidden="false" customHeight="true" outlineLevel="0" collapsed="false">
      <c r="A51" s="136" t="s">
        <v>1663</v>
      </c>
      <c r="E51" s="943" t="s">
        <v>1664</v>
      </c>
      <c r="F51" s="945" t="s">
        <v>1665</v>
      </c>
      <c r="G51" s="950" t="e">
        <f aca="false">_xlfn.iferror(IF(TITLE_PERIOD_START="","01.01."&amp;CURRENT_YEAR,"01.01."&amp;YEAR(TITLE_PERIOD_START)),"01.01."&amp;CURRENT_YEAR)</f>
        <v>#NAME?</v>
      </c>
      <c r="H51" s="950" t="e">
        <f aca="false">_xlfn.iferror(IF(TITLE_PERIOD_END="","31.12."&amp;CURRENT_YEAR,"31.12."&amp;YEAR(TITLE_PERIOD_END)),"31.12."&amp;CURRENT_YEAR)</f>
        <v>#NAME?</v>
      </c>
      <c r="I51" s="954" t="n">
        <f aca="false">IF(OR(TITLE_PERIOD_START="",TITLE_PERIOD_END=""),TRUE(),FALSE())</f>
        <v>1</v>
      </c>
      <c r="J51" s="952" t="str">
        <f aca="false">"Предложение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3"/>
      <c r="AX51" s="910" t="s">
        <v>1666</v>
      </c>
      <c r="AZ51" s="910" t="s">
        <v>1415</v>
      </c>
      <c r="BE51" s="910" t="n">
        <v>2049</v>
      </c>
      <c r="BH51" s="912" t="s">
        <v>1642</v>
      </c>
      <c r="BJ51" s="927" t="s">
        <v>1667</v>
      </c>
      <c r="BL51" s="927" t="s">
        <v>1667</v>
      </c>
    </row>
    <row r="52" customFormat="false" ht="11.25" hidden="false" customHeight="true" outlineLevel="0" collapsed="false">
      <c r="A52" s="136" t="s">
        <v>1668</v>
      </c>
      <c r="E52" s="943" t="s">
        <v>1669</v>
      </c>
      <c r="F52" s="945" t="s">
        <v>1670</v>
      </c>
      <c r="G52" s="950" t="e">
        <f aca="false">_xlfn.iferror(IF(TITLE_PERIOD_START="","01.01."&amp;CURRENT_YEAR,"01.01."&amp;YEAR(TITLE_PERIOD_START)),"01.01."&amp;CURRENT_YEAR)</f>
        <v>#NAME?</v>
      </c>
      <c r="H52" s="950" t="e">
        <f aca="false">_xlfn.iferror(IF(TITLE_PERIOD_END="","31.12."&amp;CURRENT_YEAR,"31.12."&amp;YEAR(TITLE_PERIOD_END)),"31.12."&amp;CURRENT_YEAR)</f>
        <v>#NAME?</v>
      </c>
      <c r="I52" s="954" t="n">
        <f aca="false">IF(OR(TITLE_PERIOD_START="",TITLE_PERIOD_END=""),TRUE(),FALSE())</f>
        <v>1</v>
      </c>
      <c r="J52" s="952" t="str">
        <f aca="false">"Показатели, подлежащие раскрытию в сфере "&amp;TEMPLATE_SPHERE_RUS&amp;" (цены и тарифы)"</f>
        <v>Показатели, подлежащие раскрытию в сфере водоотведения (цены и тарифы)</v>
      </c>
      <c r="K52" s="953"/>
      <c r="AX52" s="910" t="s">
        <v>1671</v>
      </c>
      <c r="AZ52" s="910" t="s">
        <v>1212</v>
      </c>
      <c r="BE52" s="910" t="n">
        <v>2050</v>
      </c>
      <c r="BH52" s="912" t="s">
        <v>1646</v>
      </c>
      <c r="BJ52" s="927" t="s">
        <v>1045</v>
      </c>
      <c r="BL52" s="927" t="s">
        <v>1045</v>
      </c>
    </row>
    <row r="53" customFormat="false" ht="11.25" hidden="false" customHeight="true" outlineLevel="0" collapsed="false">
      <c r="A53" s="136" t="s">
        <v>1672</v>
      </c>
      <c r="E53" s="943" t="s">
        <v>1673</v>
      </c>
      <c r="F53" s="945" t="s">
        <v>1673</v>
      </c>
      <c r="G53" s="950" t="e">
        <f aca="false">_xlfn.iferror(IF(f_year="","01.01."&amp;CURRENT_YEAR,"01.01."&amp;f_year),"01.01."&amp;CURRENT_YEAR)</f>
        <v>#NAME?</v>
      </c>
      <c r="H53" s="950" t="e">
        <f aca="false">_xlfn.iferror(IF(f_year="","31.12."&amp;CURRENT_YEAR,"31.12."&amp;f_year),"31.12."&amp;CURRENT_YEAR)</f>
        <v>#NAME?</v>
      </c>
      <c r="I53" s="951" t="n">
        <f aca="false">IF(AND(f_year="",TITLE_DATE_FIL=""),TRUE(),FALSE())</f>
        <v>0</v>
      </c>
      <c r="J53" s="952" t="s">
        <v>1674</v>
      </c>
      <c r="K53" s="953"/>
      <c r="AX53" s="910" t="s">
        <v>1675</v>
      </c>
      <c r="BE53" s="910" t="n">
        <v>2051</v>
      </c>
      <c r="BH53" s="912" t="s">
        <v>1649</v>
      </c>
      <c r="BJ53" s="927" t="s">
        <v>1623</v>
      </c>
      <c r="BL53" s="927" t="s">
        <v>1623</v>
      </c>
    </row>
    <row r="54" customFormat="false" ht="11.25" hidden="false" customHeight="true" outlineLevel="0" collapsed="false">
      <c r="A54" s="136" t="s">
        <v>1676</v>
      </c>
      <c r="AX54" s="910" t="s">
        <v>1677</v>
      </c>
      <c r="AZ54" s="888" t="s">
        <v>1678</v>
      </c>
      <c r="BE54" s="910" t="n">
        <v>2052</v>
      </c>
      <c r="BH54" s="912" t="s">
        <v>1655</v>
      </c>
      <c r="BJ54" s="927" t="s">
        <v>1627</v>
      </c>
      <c r="BL54" s="927" t="s">
        <v>1627</v>
      </c>
    </row>
    <row r="55" customFormat="false" ht="11.25" hidden="false" customHeight="true" outlineLevel="0" collapsed="false">
      <c r="A55" s="136" t="s">
        <v>1679</v>
      </c>
      <c r="AX55" s="910" t="s">
        <v>1680</v>
      </c>
      <c r="AZ55" s="910" t="s">
        <v>1214</v>
      </c>
      <c r="BE55" s="910" t="n">
        <v>2053</v>
      </c>
      <c r="BJ55" s="927" t="s">
        <v>1046</v>
      </c>
      <c r="BL55" s="927" t="s">
        <v>1046</v>
      </c>
    </row>
    <row r="56" customFormat="false" ht="11.25" hidden="false" customHeight="true" outlineLevel="0" collapsed="false">
      <c r="A56" s="136" t="s">
        <v>1681</v>
      </c>
      <c r="D56" s="955" t="s">
        <v>1682</v>
      </c>
      <c r="E56" s="926" t="s">
        <v>109</v>
      </c>
      <c r="F56" s="136" t="s">
        <v>1683</v>
      </c>
      <c r="AX56" s="910" t="s">
        <v>1684</v>
      </c>
      <c r="AZ56" s="910" t="s">
        <v>1241</v>
      </c>
      <c r="BE56" s="910" t="n">
        <v>2054</v>
      </c>
      <c r="BJ56" s="927" t="s">
        <v>1633</v>
      </c>
      <c r="BL56" s="927" t="s">
        <v>1633</v>
      </c>
    </row>
    <row r="57" customFormat="false" ht="11.25" hidden="false" customHeight="true" outlineLevel="0" collapsed="false">
      <c r="A57" s="136" t="s">
        <v>1685</v>
      </c>
      <c r="D57" s="955" t="s">
        <v>1686</v>
      </c>
      <c r="E57" s="926" t="s">
        <v>109</v>
      </c>
      <c r="F57" s="136" t="s">
        <v>1683</v>
      </c>
      <c r="AX57" s="910" t="s">
        <v>1687</v>
      </c>
      <c r="AZ57" s="910" t="s">
        <v>1276</v>
      </c>
      <c r="BE57" s="910" t="n">
        <v>2055</v>
      </c>
      <c r="BJ57" s="927" t="s">
        <v>1642</v>
      </c>
      <c r="BL57" s="927" t="s">
        <v>1642</v>
      </c>
    </row>
    <row r="58" customFormat="false" ht="11.25" hidden="false" customHeight="true" outlineLevel="0" collapsed="false">
      <c r="A58" s="136" t="s">
        <v>1688</v>
      </c>
      <c r="D58" s="955" t="s">
        <v>1689</v>
      </c>
      <c r="E58" s="926" t="s">
        <v>109</v>
      </c>
      <c r="F58" s="136" t="s">
        <v>1683</v>
      </c>
      <c r="AX58" s="910" t="s">
        <v>1690</v>
      </c>
      <c r="BE58" s="910" t="n">
        <v>2056</v>
      </c>
      <c r="BJ58" s="927" t="s">
        <v>1646</v>
      </c>
      <c r="BL58" s="927" t="s">
        <v>1646</v>
      </c>
    </row>
    <row r="59" customFormat="false" ht="11.25" hidden="false" customHeight="true" outlineLevel="0" collapsed="false">
      <c r="A59" s="136" t="s">
        <v>1691</v>
      </c>
      <c r="D59" s="955" t="s">
        <v>130</v>
      </c>
      <c r="E59" s="926" t="s">
        <v>1579</v>
      </c>
      <c r="F59" s="136" t="s">
        <v>1692</v>
      </c>
      <c r="AX59" s="910" t="s">
        <v>1693</v>
      </c>
      <c r="AZ59" s="888" t="s">
        <v>1694</v>
      </c>
      <c r="BE59" s="910" t="n">
        <v>2057</v>
      </c>
      <c r="BJ59" s="927" t="s">
        <v>1649</v>
      </c>
      <c r="BL59" s="927" t="s">
        <v>1649</v>
      </c>
    </row>
    <row r="60" customFormat="false" ht="11.25" hidden="false" customHeight="true" outlineLevel="0" collapsed="false">
      <c r="A60" s="136" t="s">
        <v>1695</v>
      </c>
      <c r="D60" s="955" t="s">
        <v>1696</v>
      </c>
      <c r="E60" s="926" t="s">
        <v>1579</v>
      </c>
      <c r="F60" s="136" t="s">
        <v>1692</v>
      </c>
      <c r="AX60" s="910" t="s">
        <v>1697</v>
      </c>
      <c r="AZ60" s="910" t="s">
        <v>1215</v>
      </c>
      <c r="BE60" s="910" t="n">
        <v>2058</v>
      </c>
      <c r="BJ60" s="927" t="s">
        <v>1655</v>
      </c>
      <c r="BL60" s="927" t="s">
        <v>1655</v>
      </c>
    </row>
    <row r="61" customFormat="false" ht="11.25" hidden="false" customHeight="true" outlineLevel="0" collapsed="false">
      <c r="A61" s="136" t="s">
        <v>1698</v>
      </c>
      <c r="D61" s="955" t="s">
        <v>1699</v>
      </c>
      <c r="E61" s="926" t="s">
        <v>1579</v>
      </c>
      <c r="F61" s="136" t="s">
        <v>1692</v>
      </c>
      <c r="AX61" s="910" t="s">
        <v>1700</v>
      </c>
      <c r="AZ61" s="910" t="s">
        <v>1242</v>
      </c>
      <c r="BE61" s="910" t="n">
        <v>2059</v>
      </c>
      <c r="BL61" s="927" t="s">
        <v>1038</v>
      </c>
    </row>
    <row r="62" customFormat="false" ht="11.25" hidden="false" customHeight="true" outlineLevel="0" collapsed="false">
      <c r="A62" s="136" t="s">
        <v>1701</v>
      </c>
      <c r="D62" s="955" t="s">
        <v>129</v>
      </c>
      <c r="E62" s="926" t="n">
        <v>30</v>
      </c>
      <c r="F62" s="136" t="s">
        <v>1692</v>
      </c>
      <c r="AZ62" s="910" t="s">
        <v>1277</v>
      </c>
      <c r="BE62" s="910" t="n">
        <v>2060</v>
      </c>
      <c r="BL62" s="927" t="s">
        <v>1040</v>
      </c>
    </row>
    <row r="63" customFormat="false" ht="11.25" hidden="false" customHeight="true" outlineLevel="0" collapsed="false">
      <c r="A63" s="136" t="s">
        <v>1702</v>
      </c>
      <c r="D63" s="955" t="s">
        <v>1703</v>
      </c>
      <c r="E63" s="926" t="n">
        <v>30</v>
      </c>
      <c r="F63" s="136" t="s">
        <v>1692</v>
      </c>
      <c r="AZ63" s="910" t="s">
        <v>1309</v>
      </c>
      <c r="BE63" s="910" t="n">
        <v>2061</v>
      </c>
    </row>
    <row r="64" customFormat="false" ht="11.25" hidden="false" customHeight="true" outlineLevel="0" collapsed="false">
      <c r="A64" s="136" t="s">
        <v>1704</v>
      </c>
      <c r="D64" s="955" t="s">
        <v>1705</v>
      </c>
      <c r="E64" s="926" t="n">
        <v>30</v>
      </c>
      <c r="F64" s="136" t="s">
        <v>1692</v>
      </c>
      <c r="AZ64" s="910" t="s">
        <v>1332</v>
      </c>
      <c r="BE64" s="910" t="n">
        <v>2062</v>
      </c>
    </row>
    <row r="65" customFormat="false" ht="11.25" hidden="false" customHeight="true" outlineLevel="0" collapsed="false">
      <c r="A65" s="136" t="s">
        <v>1706</v>
      </c>
      <c r="D65" s="136"/>
      <c r="BE65" s="910" t="n">
        <v>2063</v>
      </c>
    </row>
    <row r="66" customFormat="false" ht="11.25" hidden="false" customHeight="true" outlineLevel="0" collapsed="false">
      <c r="A66" s="136" t="s">
        <v>1707</v>
      </c>
      <c r="AZ66" s="888" t="s">
        <v>1708</v>
      </c>
      <c r="BE66" s="910" t="n">
        <v>2064</v>
      </c>
    </row>
    <row r="67" customFormat="false" ht="11.25" hidden="false" customHeight="true" outlineLevel="0" collapsed="false">
      <c r="A67" s="136" t="s">
        <v>1709</v>
      </c>
      <c r="AZ67" s="910" t="s">
        <v>1216</v>
      </c>
      <c r="BE67" s="910" t="n">
        <v>2065</v>
      </c>
    </row>
    <row r="68" customFormat="false" ht="11.25" hidden="false" customHeight="true" outlineLevel="0" collapsed="false">
      <c r="A68" s="136" t="s">
        <v>1710</v>
      </c>
      <c r="AZ68" s="910" t="s">
        <v>1243</v>
      </c>
      <c r="BE68" s="910" t="n">
        <v>2066</v>
      </c>
      <c r="BH68" s="888" t="s">
        <v>1711</v>
      </c>
      <c r="BJ68" s="888" t="s">
        <v>1712</v>
      </c>
      <c r="BL68" s="888" t="s">
        <v>1713</v>
      </c>
      <c r="BN68" s="888" t="s">
        <v>1714</v>
      </c>
    </row>
    <row r="69" customFormat="false" ht="11.25" hidden="false" customHeight="true" outlineLevel="0" collapsed="false">
      <c r="A69" s="136" t="s">
        <v>1715</v>
      </c>
      <c r="AZ69" s="910" t="s">
        <v>1278</v>
      </c>
      <c r="BE69" s="910" t="n">
        <v>2067</v>
      </c>
      <c r="BH69" s="912" t="s">
        <v>1716</v>
      </c>
      <c r="BI69" s="227" t="s">
        <v>107</v>
      </c>
      <c r="BJ69" s="912" t="s">
        <v>1717</v>
      </c>
      <c r="BK69" s="227" t="s">
        <v>107</v>
      </c>
      <c r="BL69" s="912" t="s">
        <v>1718</v>
      </c>
      <c r="BM69" s="227" t="s">
        <v>107</v>
      </c>
      <c r="BN69" s="912" t="s">
        <v>1719</v>
      </c>
    </row>
    <row r="70" customFormat="false" ht="11.25" hidden="false" customHeight="true" outlineLevel="0" collapsed="false">
      <c r="A70" s="136" t="s">
        <v>1720</v>
      </c>
      <c r="AZ70" s="910" t="s">
        <v>1310</v>
      </c>
      <c r="BE70" s="910" t="n">
        <v>2068</v>
      </c>
      <c r="BH70" s="912" t="s">
        <v>1721</v>
      </c>
      <c r="BJ70" s="912" t="s">
        <v>1722</v>
      </c>
      <c r="BL70" s="912" t="s">
        <v>1723</v>
      </c>
      <c r="BN70" s="912" t="s">
        <v>1724</v>
      </c>
    </row>
    <row r="71" customFormat="false" ht="11.25" hidden="false" customHeight="true" outlineLevel="0" collapsed="false">
      <c r="A71" s="136" t="s">
        <v>1725</v>
      </c>
      <c r="AZ71" s="910" t="s">
        <v>1312</v>
      </c>
      <c r="BE71" s="910" t="n">
        <v>2069</v>
      </c>
      <c r="BH71" s="912" t="s">
        <v>1726</v>
      </c>
      <c r="BI71" s="227" t="s">
        <v>88</v>
      </c>
      <c r="BJ71" s="912" t="s">
        <v>1727</v>
      </c>
      <c r="BK71" s="227" t="s">
        <v>88</v>
      </c>
      <c r="BL71" s="912" t="s">
        <v>1728</v>
      </c>
      <c r="BM71" s="227" t="s">
        <v>88</v>
      </c>
      <c r="BN71" s="912" t="s">
        <v>1729</v>
      </c>
    </row>
    <row r="72" customFormat="false" ht="11.25" hidden="false" customHeight="true" outlineLevel="0" collapsed="false">
      <c r="A72" s="136" t="s">
        <v>1730</v>
      </c>
      <c r="AZ72" s="910" t="s">
        <v>19</v>
      </c>
      <c r="BE72" s="910" t="n">
        <v>2070</v>
      </c>
      <c r="BH72" s="912" t="s">
        <v>1731</v>
      </c>
      <c r="BJ72" s="912" t="s">
        <v>1731</v>
      </c>
      <c r="BL72" s="912" t="s">
        <v>1731</v>
      </c>
      <c r="BN72" s="912" t="s">
        <v>1732</v>
      </c>
    </row>
    <row r="73" customFormat="false" ht="11.25" hidden="false" customHeight="true" outlineLevel="0" collapsed="false">
      <c r="A73" s="136" t="s">
        <v>16</v>
      </c>
      <c r="BH73" s="912" t="s">
        <v>1733</v>
      </c>
      <c r="BI73" s="227" t="s">
        <v>109</v>
      </c>
      <c r="BJ73" s="912" t="s">
        <v>1734</v>
      </c>
      <c r="BK73" s="227" t="s">
        <v>109</v>
      </c>
      <c r="BL73" s="912" t="s">
        <v>1735</v>
      </c>
      <c r="BM73" s="227" t="s">
        <v>109</v>
      </c>
      <c r="BN73" s="912" t="s">
        <v>1736</v>
      </c>
    </row>
    <row r="74" customFormat="false" ht="11.25" hidden="false" customHeight="true" outlineLevel="0" collapsed="false">
      <c r="A74" s="136" t="s">
        <v>1737</v>
      </c>
      <c r="BH74" s="912" t="s">
        <v>1738</v>
      </c>
      <c r="BJ74" s="912" t="s">
        <v>1739</v>
      </c>
      <c r="BL74" s="912" t="s">
        <v>1740</v>
      </c>
      <c r="BN74" s="912" t="s">
        <v>1741</v>
      </c>
    </row>
    <row r="75" customFormat="false" ht="11.25" hidden="false" customHeight="true" outlineLevel="0" collapsed="false">
      <c r="A75" s="136" t="s">
        <v>1742</v>
      </c>
      <c r="AZ75" s="888" t="s">
        <v>1743</v>
      </c>
      <c r="BH75" s="912" t="s">
        <v>1744</v>
      </c>
      <c r="BJ75" s="912" t="s">
        <v>1744</v>
      </c>
      <c r="BL75" s="912" t="s">
        <v>1744</v>
      </c>
    </row>
    <row r="76" customFormat="false" ht="11.25" hidden="false" customHeight="true" outlineLevel="0" collapsed="false">
      <c r="A76" s="136" t="s">
        <v>1745</v>
      </c>
      <c r="AZ76" s="910" t="s">
        <v>1225</v>
      </c>
      <c r="BH76" s="912" t="s">
        <v>1746</v>
      </c>
      <c r="BJ76" s="912" t="s">
        <v>1747</v>
      </c>
      <c r="BL76" s="956" t="s">
        <v>1748</v>
      </c>
    </row>
    <row r="77" customFormat="false" ht="11.25" hidden="false" customHeight="true" outlineLevel="0" collapsed="false">
      <c r="A77" s="136" t="s">
        <v>1749</v>
      </c>
      <c r="AZ77" s="910" t="s">
        <v>1253</v>
      </c>
    </row>
    <row r="78" customFormat="false" ht="11.25" hidden="false" customHeight="true" outlineLevel="0" collapsed="false">
      <c r="A78" s="136" t="s">
        <v>1750</v>
      </c>
      <c r="AZ78" s="910" t="s">
        <v>1285</v>
      </c>
    </row>
    <row r="79" customFormat="false" ht="11.25" hidden="false" customHeight="true" outlineLevel="0" collapsed="false">
      <c r="A79" s="136" t="s">
        <v>1751</v>
      </c>
      <c r="AZ79" s="910" t="s">
        <v>1316</v>
      </c>
      <c r="BH79" s="888" t="s">
        <v>1752</v>
      </c>
      <c r="BJ79" s="888" t="s">
        <v>1753</v>
      </c>
      <c r="BL79" s="888" t="s">
        <v>1754</v>
      </c>
    </row>
    <row r="80" customFormat="false" ht="11.25" hidden="false" customHeight="true" outlineLevel="0" collapsed="false">
      <c r="A80" s="136" t="s">
        <v>1755</v>
      </c>
      <c r="AZ80" s="910" t="s">
        <v>1337</v>
      </c>
      <c r="BH80" s="912" t="s">
        <v>1756</v>
      </c>
      <c r="BJ80" s="912" t="s">
        <v>1757</v>
      </c>
      <c r="BL80" s="912" t="s">
        <v>1758</v>
      </c>
    </row>
    <row r="81" customFormat="false" ht="11.25" hidden="false" customHeight="true" outlineLevel="0" collapsed="false">
      <c r="A81" s="136" t="s">
        <v>1759</v>
      </c>
      <c r="AZ81" s="910" t="s">
        <v>1354</v>
      </c>
      <c r="BH81" s="912" t="s">
        <v>1760</v>
      </c>
      <c r="BJ81" s="912" t="s">
        <v>1761</v>
      </c>
      <c r="BL81" s="912" t="s">
        <v>1762</v>
      </c>
    </row>
    <row r="82" customFormat="false" ht="11.25" hidden="false" customHeight="true" outlineLevel="0" collapsed="false">
      <c r="A82" s="136" t="s">
        <v>1763</v>
      </c>
      <c r="AZ82" s="910" t="s">
        <v>1369</v>
      </c>
      <c r="BH82" s="912" t="s">
        <v>1764</v>
      </c>
      <c r="BJ82" s="912" t="s">
        <v>1765</v>
      </c>
      <c r="BL82" s="912" t="s">
        <v>1766</v>
      </c>
    </row>
    <row r="83" customFormat="false" ht="11.25" hidden="false" customHeight="true" outlineLevel="0" collapsed="false">
      <c r="A83" s="136" t="s">
        <v>1767</v>
      </c>
      <c r="BH83" s="912" t="s">
        <v>1768</v>
      </c>
      <c r="BJ83" s="912" t="s">
        <v>1769</v>
      </c>
      <c r="BL83" s="912" t="s">
        <v>1770</v>
      </c>
    </row>
    <row r="84" customFormat="false" ht="11.25" hidden="false" customHeight="true" outlineLevel="0" collapsed="false">
      <c r="A84" s="136" t="s">
        <v>1771</v>
      </c>
      <c r="AZ84" s="888" t="s">
        <v>1772</v>
      </c>
    </row>
    <row r="85" customFormat="false" ht="11.25" hidden="false" customHeight="true" outlineLevel="0" collapsed="false">
      <c r="A85" s="930" t="s">
        <v>1773</v>
      </c>
      <c r="AZ85" s="910" t="s">
        <v>1774</v>
      </c>
    </row>
    <row r="86" customFormat="false" ht="11.25" hidden="false" customHeight="true" outlineLevel="0" collapsed="false">
      <c r="A86" s="136" t="s">
        <v>1775</v>
      </c>
      <c r="AZ86" s="910" t="s">
        <v>1776</v>
      </c>
      <c r="BH86" s="888" t="s">
        <v>1777</v>
      </c>
      <c r="BJ86" s="888" t="s">
        <v>1778</v>
      </c>
      <c r="BL86" s="888" t="s">
        <v>1779</v>
      </c>
    </row>
    <row r="87" customFormat="false" ht="11.25" hidden="false" customHeight="true" outlineLevel="0" collapsed="false">
      <c r="A87" s="136" t="s">
        <v>1780</v>
      </c>
      <c r="AZ87" s="910" t="s">
        <v>1781</v>
      </c>
      <c r="BH87" s="912" t="s">
        <v>1782</v>
      </c>
      <c r="BJ87" s="912" t="s">
        <v>1783</v>
      </c>
      <c r="BL87" s="912" t="s">
        <v>1784</v>
      </c>
    </row>
    <row r="88" customFormat="false" ht="11.25" hidden="false" customHeight="true" outlineLevel="0" collapsed="false">
      <c r="A88" s="136" t="s">
        <v>1785</v>
      </c>
      <c r="AZ88" s="55"/>
      <c r="BH88" s="912" t="s">
        <v>1786</v>
      </c>
      <c r="BJ88" s="912" t="s">
        <v>1787</v>
      </c>
      <c r="BL88" s="912" t="s">
        <v>1788</v>
      </c>
    </row>
    <row r="89" customFormat="false" ht="11.25" hidden="false" customHeight="true" outlineLevel="0" collapsed="false">
      <c r="A89" s="136" t="s">
        <v>1789</v>
      </c>
      <c r="AZ89" s="888" t="s">
        <v>1790</v>
      </c>
    </row>
    <row r="90" customFormat="false" ht="11.25" hidden="false" customHeight="true" outlineLevel="0" collapsed="false">
      <c r="A90" s="136" t="s">
        <v>1791</v>
      </c>
      <c r="AZ90" s="910" t="s">
        <v>1016</v>
      </c>
    </row>
    <row r="91" customFormat="false" ht="11.25" hidden="false" customHeight="true" outlineLevel="0" collapsed="false">
      <c r="A91" s="136" t="s">
        <v>1792</v>
      </c>
      <c r="AZ91" s="910" t="s">
        <v>1052</v>
      </c>
      <c r="BH91" s="888" t="s">
        <v>1793</v>
      </c>
      <c r="BJ91" s="888" t="s">
        <v>1794</v>
      </c>
      <c r="BL91" s="888" t="s">
        <v>1795</v>
      </c>
    </row>
    <row r="92" customFormat="false" ht="11.25" hidden="false" customHeight="true" outlineLevel="0" collapsed="false">
      <c r="AZ92" s="910" t="s">
        <v>1796</v>
      </c>
      <c r="BH92" s="912" t="s">
        <v>1797</v>
      </c>
      <c r="BJ92" s="912" t="s">
        <v>1798</v>
      </c>
      <c r="BL92" s="912" t="s">
        <v>1799</v>
      </c>
    </row>
    <row r="93" customFormat="false" ht="11.25" hidden="false" customHeight="true" outlineLevel="0" collapsed="false">
      <c r="AZ93" s="910" t="s">
        <v>1800</v>
      </c>
      <c r="BH93" s="912" t="s">
        <v>1801</v>
      </c>
      <c r="BJ93" s="912" t="s">
        <v>1802</v>
      </c>
      <c r="BL93" s="912" t="s">
        <v>1803</v>
      </c>
    </row>
    <row r="94" customFormat="false" ht="11.25" hidden="false" customHeight="true" outlineLevel="0" collapsed="false">
      <c r="AZ94" s="910" t="s">
        <v>1804</v>
      </c>
    </row>
    <row r="96" customFormat="false" ht="11.25" hidden="false" customHeight="true" outlineLevel="0" collapsed="false">
      <c r="AZ96" s="888" t="s">
        <v>1805</v>
      </c>
      <c r="BH96" s="888" t="s">
        <v>1806</v>
      </c>
      <c r="BJ96" s="888" t="s">
        <v>1807</v>
      </c>
      <c r="BL96" s="888" t="s">
        <v>1808</v>
      </c>
      <c r="BN96" s="888" t="s">
        <v>1809</v>
      </c>
    </row>
    <row r="97" customFormat="false" ht="11.25" hidden="false" customHeight="true" outlineLevel="0" collapsed="false">
      <c r="AZ97" s="957" t="s">
        <v>1810</v>
      </c>
      <c r="BA97" s="495" t="s">
        <v>1811</v>
      </c>
      <c r="BH97" s="912" t="s">
        <v>1812</v>
      </c>
      <c r="BJ97" s="912" t="s">
        <v>1813</v>
      </c>
      <c r="BL97" s="912" t="s">
        <v>1814</v>
      </c>
      <c r="BN97" s="912" t="s">
        <v>1815</v>
      </c>
    </row>
    <row r="98" customFormat="false" ht="11.25" hidden="false" customHeight="true" outlineLevel="0" collapsed="false">
      <c r="AZ98" s="957" t="s">
        <v>1816</v>
      </c>
      <c r="BA98" s="495" t="s">
        <v>1817</v>
      </c>
      <c r="BH98" s="912" t="s">
        <v>1818</v>
      </c>
      <c r="BJ98" s="912" t="s">
        <v>1819</v>
      </c>
      <c r="BL98" s="912" t="s">
        <v>1820</v>
      </c>
      <c r="BN98" s="912" t="s">
        <v>1821</v>
      </c>
    </row>
    <row r="99" customFormat="false" ht="22.5" hidden="false" customHeight="true" outlineLevel="0" collapsed="false">
      <c r="AZ99" s="957" t="s">
        <v>1822</v>
      </c>
      <c r="BA99" s="495" t="str">
        <f aca="false">"не позднее чем за "&amp;IF(TEMPLATE_SPHERE="TKO","3","10")&amp;" дней до дня проведения заседания правления"</f>
        <v>не позднее чем за 10 дней до дня проведения заседания правления</v>
      </c>
      <c r="BH99" s="912" t="s">
        <v>1823</v>
      </c>
      <c r="BJ99" s="912" t="s">
        <v>1824</v>
      </c>
      <c r="BL99" s="912" t="s">
        <v>1825</v>
      </c>
      <c r="BN99" s="912" t="s">
        <v>1826</v>
      </c>
    </row>
    <row r="100" customFormat="false" ht="22.5" hidden="false" customHeight="true" outlineLevel="0" collapsed="false">
      <c r="AZ100" s="957" t="s">
        <v>1827</v>
      </c>
      <c r="BA100" s="495" t="str">
        <f aca="false">"в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12" t="s">
        <v>1415</v>
      </c>
      <c r="BL100" s="912" t="s">
        <v>1415</v>
      </c>
      <c r="BN100" s="912" t="s">
        <v>1828</v>
      </c>
    </row>
    <row r="101" customFormat="false" ht="22.5" hidden="false" customHeight="true" outlineLevel="0" collapsed="false">
      <c r="AZ101" s="957" t="s">
        <v>1829</v>
      </c>
      <c r="BA101" s="495" t="s">
        <v>1830</v>
      </c>
      <c r="BN101" s="912" t="s">
        <v>1831</v>
      </c>
    </row>
    <row r="102" customFormat="false" ht="22.5" hidden="false" customHeight="true" outlineLevel="0" collapsed="false">
      <c r="AZ102" s="957" t="s">
        <v>1832</v>
      </c>
      <c r="BA102" s="495" t="str">
        <f aca="false">"в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12" t="s">
        <v>1833</v>
      </c>
    </row>
    <row r="103" customFormat="false" ht="11.25" hidden="false" customHeight="true" outlineLevel="0" collapsed="false">
      <c r="AZ103" s="957" t="s">
        <v>1834</v>
      </c>
      <c r="BA103" s="495" t="s">
        <v>1835</v>
      </c>
      <c r="BN103" s="912" t="s">
        <v>1836</v>
      </c>
    </row>
    <row r="104" customFormat="false" ht="11.25" hidden="false" customHeight="true" outlineLevel="0" collapsed="false">
      <c r="BN104" s="912" t="s">
        <v>1837</v>
      </c>
    </row>
    <row r="105" customFormat="false" ht="11.25" hidden="false" customHeight="true" outlineLevel="0" collapsed="false">
      <c r="AZ105" s="888" t="s">
        <v>1838</v>
      </c>
    </row>
    <row r="106" customFormat="false" ht="11.25" hidden="false" customHeight="true" outlineLevel="0" collapsed="false">
      <c r="AZ106" s="910" t="s">
        <v>1839</v>
      </c>
    </row>
    <row r="107" customFormat="false" ht="11.25" hidden="false" customHeight="true" outlineLevel="0" collapsed="false">
      <c r="AZ107" s="910" t="s">
        <v>1840</v>
      </c>
      <c r="BH107" s="888" t="s">
        <v>1841</v>
      </c>
      <c r="BJ107" s="888" t="s">
        <v>1842</v>
      </c>
      <c r="BL107" s="888" t="s">
        <v>1843</v>
      </c>
      <c r="BN107" s="888" t="s">
        <v>1844</v>
      </c>
    </row>
    <row r="108" customFormat="false" ht="11.25" hidden="false" customHeight="true" outlineLevel="0" collapsed="false">
      <c r="AZ108" s="910" t="s">
        <v>568</v>
      </c>
      <c r="BH108" s="912" t="s">
        <v>1845</v>
      </c>
      <c r="BJ108" s="912" t="s">
        <v>1846</v>
      </c>
      <c r="BL108" s="912" t="s">
        <v>1501</v>
      </c>
      <c r="BN108" s="912" t="s">
        <v>1847</v>
      </c>
    </row>
    <row r="109" customFormat="false" ht="11.25" hidden="false" customHeight="true" outlineLevel="0" collapsed="false">
      <c r="BH109" s="912" t="s">
        <v>1848</v>
      </c>
    </row>
    <row r="110" customFormat="false" ht="11.25" hidden="false" customHeight="true" outlineLevel="0" collapsed="false">
      <c r="AZ110" s="888" t="s">
        <v>1849</v>
      </c>
      <c r="BH110" s="912" t="s">
        <v>1848</v>
      </c>
    </row>
    <row r="111" customFormat="false" ht="11.25" hidden="false" customHeight="true" outlineLevel="0" collapsed="false">
      <c r="AZ111" s="957" t="s">
        <v>1810</v>
      </c>
      <c r="BA111" s="495" t="s">
        <v>1811</v>
      </c>
    </row>
    <row r="112" customFormat="false" ht="11.25" hidden="false" customHeight="true" outlineLevel="0" collapsed="false">
      <c r="AZ112" s="957" t="s">
        <v>1816</v>
      </c>
      <c r="BA112" s="495" t="s">
        <v>1817</v>
      </c>
    </row>
    <row r="113" customFormat="false" ht="22.5" hidden="false" customHeight="true" outlineLevel="0" collapsed="false">
      <c r="AZ113" s="957" t="s">
        <v>1822</v>
      </c>
      <c r="BA113" s="495" t="str">
        <f aca="false">"не позднее чем за "&amp;IF(TEMPLATE_SPHERE="TKO","3","10")&amp;" дней до дня проведения заседания правления"</f>
        <v>не позднее чем за 10 дней до дня проведения заседания правления</v>
      </c>
    </row>
    <row r="114" customFormat="false" ht="22.5" hidden="false" customHeight="true" outlineLevel="0" collapsed="false">
      <c r="AZ114" s="957" t="s">
        <v>1827</v>
      </c>
      <c r="BA114" s="495" t="str">
        <f aca="false">"в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888" t="s">
        <v>1850</v>
      </c>
    </row>
    <row r="115" customFormat="false" ht="22.5" hidden="false" customHeight="true" outlineLevel="0" collapsed="false">
      <c r="AZ115" s="957" t="s">
        <v>1832</v>
      </c>
      <c r="BA115" s="495" t="str">
        <f aca="false">"в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12" t="s">
        <v>1212</v>
      </c>
    </row>
    <row r="116" customFormat="false" ht="11.25" hidden="false" customHeight="true" outlineLevel="0" collapsed="false">
      <c r="AZ116" s="957" t="s">
        <v>1834</v>
      </c>
      <c r="BA116" s="495" t="s">
        <v>1835</v>
      </c>
      <c r="BH116" s="912" t="s">
        <v>1239</v>
      </c>
    </row>
    <row r="117" customFormat="false" ht="11.25" hidden="false" customHeight="true" outlineLevel="0" collapsed="false">
      <c r="BH117" s="912" t="s">
        <v>1274</v>
      </c>
    </row>
    <row r="118" customFormat="false" ht="11.25" hidden="false" customHeight="true" outlineLevel="0" collapsed="false">
      <c r="BH118" s="912" t="s">
        <v>1307</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2" min="1" style="283" width="15"/>
    <col collapsed="false" customWidth="true" hidden="false" outlineLevel="0" max="3" min="3" style="284" width="3"/>
    <col collapsed="false" customWidth="true" hidden="false" outlineLevel="0" max="4" min="4" style="285" width="6"/>
    <col collapsed="false" customWidth="true" hidden="false" outlineLevel="0" max="5" min="5" style="284" width="52"/>
    <col collapsed="false" customWidth="true" hidden="false" outlineLevel="0" max="6" min="6" style="284" width="48"/>
    <col collapsed="false" customWidth="true" hidden="false" outlineLevel="0" max="7" min="7" style="284" width="93"/>
    <col collapsed="false" customWidth="true" hidden="false" outlineLevel="0" max="8" min="8" style="284" width="8"/>
    <col collapsed="false" customWidth="true" hidden="false" outlineLevel="0" max="9" min="9" style="284" width="64"/>
    <col collapsed="false" customWidth="false" hidden="true" outlineLevel="0" max="10" min="10" style="284" width="9.15"/>
  </cols>
  <sheetData>
    <row r="1" customFormat="false" ht="11.25" hidden="true" customHeight="true" outlineLevel="0" collapsed="false">
      <c r="A1" s="283" t="s">
        <v>296</v>
      </c>
      <c r="J1" s="284" t="s">
        <v>14</v>
      </c>
    </row>
    <row r="2" customFormat="false" ht="22.5" hidden="true" customHeight="true" outlineLevel="0" collapsed="false">
      <c r="A2" s="291"/>
      <c r="B2" s="291"/>
      <c r="C2" s="725" t="s">
        <v>686</v>
      </c>
      <c r="D2" s="958"/>
      <c r="E2" s="332"/>
      <c r="F2" s="575"/>
      <c r="H2" s="300"/>
      <c r="J2" s="284" t="n">
        <v>0</v>
      </c>
    </row>
    <row r="3" customFormat="false" ht="11.25" hidden="true" customHeight="true" outlineLevel="0" collapsed="false">
      <c r="J3" s="284" t="n">
        <v>0</v>
      </c>
    </row>
    <row r="4" customFormat="false" ht="11.25" hidden="false" customHeight="true" outlineLevel="0" collapsed="false">
      <c r="A4" s="959"/>
      <c r="B4" s="959"/>
      <c r="J4" s="284" t="n">
        <v>11</v>
      </c>
    </row>
    <row r="5" customFormat="false" ht="27" hidden="false" customHeight="true" outlineLevel="0" collapsed="false">
      <c r="D5" s="178" t="str">
        <f aca="false">"Форма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78"/>
      <c r="F5" s="178"/>
      <c r="I5" s="288"/>
      <c r="J5" s="284" t="n">
        <v>26</v>
      </c>
    </row>
    <row r="6" customFormat="false" ht="18" hidden="false" customHeight="true" outlineLevel="0" collapsed="false">
      <c r="D6" s="259" t="str">
        <f aca="false">IF(region_name=0,"Не определено",region_name)</f>
        <v>Свердловская область</v>
      </c>
      <c r="E6" s="259"/>
      <c r="F6" s="259"/>
      <c r="I6" s="288"/>
      <c r="J6" s="284" t="n">
        <v>17</v>
      </c>
    </row>
    <row r="7" s="286" customFormat="true" ht="11.25" hidden="false" customHeight="true" outlineLevel="0" collapsed="false">
      <c r="A7" s="283"/>
      <c r="B7" s="283"/>
      <c r="D7" s="289"/>
      <c r="E7" s="289"/>
      <c r="F7" s="290"/>
      <c r="G7" s="289"/>
      <c r="J7" s="286" t="n">
        <v>11</v>
      </c>
    </row>
    <row r="8" customFormat="false" ht="11.25" hidden="true" customHeight="true" outlineLevel="0" collapsed="false">
      <c r="A8" s="291"/>
      <c r="B8" s="291"/>
      <c r="C8" s="83"/>
      <c r="D8" s="74"/>
      <c r="E8" s="292"/>
      <c r="F8" s="292"/>
      <c r="J8" s="284" t="n">
        <v>0</v>
      </c>
    </row>
    <row r="9" customFormat="false" ht="11.25" hidden="false" customHeight="true" outlineLevel="0" collapsed="false">
      <c r="A9" s="291"/>
      <c r="B9" s="291"/>
      <c r="C9" s="83"/>
      <c r="D9" s="293" t="s">
        <v>297</v>
      </c>
      <c r="E9" s="293"/>
      <c r="F9" s="293"/>
      <c r="G9" s="294" t="s">
        <v>298</v>
      </c>
      <c r="J9" s="284" t="n">
        <v>11</v>
      </c>
    </row>
    <row r="10" customFormat="false" ht="11.25" hidden="false" customHeight="true" outlineLevel="0" collapsed="false">
      <c r="A10" s="291"/>
      <c r="B10" s="291"/>
      <c r="C10" s="83"/>
      <c r="D10" s="295" t="s">
        <v>86</v>
      </c>
      <c r="E10" s="294" t="s">
        <v>299</v>
      </c>
      <c r="F10" s="294" t="s">
        <v>300</v>
      </c>
      <c r="G10" s="294"/>
      <c r="J10" s="284" t="n">
        <v>11</v>
      </c>
    </row>
    <row r="11" customFormat="false" ht="0.75" hidden="false" customHeight="true" outlineLevel="0" collapsed="false">
      <c r="A11" s="291"/>
      <c r="B11" s="291"/>
      <c r="C11" s="83"/>
      <c r="D11" s="296"/>
      <c r="E11" s="296"/>
      <c r="F11" s="296"/>
      <c r="G11" s="296"/>
      <c r="J11" s="284" t="n">
        <v>1</v>
      </c>
    </row>
    <row r="12" customFormat="false" ht="24" hidden="false" customHeight="true" outlineLevel="0" collapsed="false">
      <c r="A12" s="291"/>
      <c r="B12" s="291"/>
      <c r="C12" s="83"/>
      <c r="D12" s="958" t="n">
        <v>1</v>
      </c>
      <c r="E12" s="303" t="str">
        <f aca="false">"Наименование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426" t="str">
        <f aca="false">IF(org="","",org)</f>
        <v>Филиал ПАО "ОГК-2" - Серовская ГРЭС, г. Серов</v>
      </c>
      <c r="G12" s="303" t="str">
        <f aca="false">"Указывается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960"/>
      <c r="J12" s="284" t="n">
        <v>23</v>
      </c>
    </row>
    <row r="13" customFormat="false" ht="19.5" hidden="false" customHeight="true" outlineLevel="0" collapsed="false">
      <c r="A13" s="291"/>
      <c r="B13" s="291"/>
      <c r="C13" s="83"/>
      <c r="D13" s="958" t="n">
        <v>2</v>
      </c>
      <c r="E13" s="422" t="s">
        <v>1851</v>
      </c>
      <c r="F13" s="150" t="s">
        <v>303</v>
      </c>
      <c r="G13" s="303"/>
      <c r="H13" s="960"/>
      <c r="J13" s="284" t="n">
        <v>19</v>
      </c>
    </row>
    <row r="14" customFormat="false" ht="19.5" hidden="false" customHeight="true" outlineLevel="0" collapsed="false">
      <c r="A14" s="291"/>
      <c r="B14" s="291"/>
      <c r="C14" s="83"/>
      <c r="D14" s="280" t="s">
        <v>706</v>
      </c>
      <c r="E14" s="577" t="s">
        <v>1852</v>
      </c>
      <c r="F14" s="332"/>
      <c r="G14" s="423" t="s">
        <v>1853</v>
      </c>
      <c r="H14" s="960"/>
      <c r="J14" s="284" t="n">
        <v>19</v>
      </c>
    </row>
    <row r="15" customFormat="false" ht="19.5" hidden="false" customHeight="true" outlineLevel="0" collapsed="false">
      <c r="A15" s="291"/>
      <c r="B15" s="291"/>
      <c r="C15" s="83"/>
      <c r="D15" s="280" t="s">
        <v>304</v>
      </c>
      <c r="E15" s="577" t="s">
        <v>1854</v>
      </c>
      <c r="F15" s="332"/>
      <c r="G15" s="423" t="s">
        <v>1855</v>
      </c>
      <c r="H15" s="960"/>
      <c r="J15" s="284" t="n">
        <v>19</v>
      </c>
    </row>
    <row r="16" customFormat="false" ht="24" hidden="false" customHeight="true" outlineLevel="0" collapsed="false">
      <c r="A16" s="291"/>
      <c r="B16" s="291"/>
      <c r="C16" s="83"/>
      <c r="D16" s="280" t="s">
        <v>307</v>
      </c>
      <c r="E16" s="430" t="s">
        <v>1856</v>
      </c>
      <c r="F16" s="333"/>
      <c r="G16" s="303" t="s">
        <v>1857</v>
      </c>
      <c r="H16" s="960"/>
      <c r="J16" s="284" t="n">
        <v>23</v>
      </c>
    </row>
    <row r="17" customFormat="false" ht="48" hidden="false" customHeight="true" outlineLevel="0" collapsed="false">
      <c r="A17" s="291"/>
      <c r="B17" s="291"/>
      <c r="C17" s="83"/>
      <c r="D17" s="958" t="n">
        <v>3</v>
      </c>
      <c r="E17" s="422" t="s">
        <v>1858</v>
      </c>
      <c r="F17" s="332"/>
      <c r="G17" s="961" t="s">
        <v>1859</v>
      </c>
      <c r="H17" s="960"/>
      <c r="J17" s="284" t="n">
        <v>46</v>
      </c>
    </row>
    <row r="18" customFormat="false" ht="48" hidden="false" customHeight="true" outlineLevel="0" collapsed="false">
      <c r="A18" s="962" t="n">
        <v>1</v>
      </c>
      <c r="B18" s="291"/>
      <c r="C18" s="308"/>
      <c r="D18" s="958" t="s">
        <v>89</v>
      </c>
      <c r="E18" s="422" t="s">
        <v>1860</v>
      </c>
      <c r="F18" s="332"/>
      <c r="G18" s="961" t="s">
        <v>1859</v>
      </c>
      <c r="H18" s="960"/>
      <c r="I18" s="309"/>
      <c r="J18" s="284" t="n">
        <v>46</v>
      </c>
    </row>
    <row r="19" customFormat="false" ht="23.25" hidden="false" customHeight="true" outlineLevel="0" collapsed="false">
      <c r="A19" s="291"/>
      <c r="B19" s="291"/>
      <c r="C19" s="83"/>
      <c r="D19" s="958" t="s">
        <v>109</v>
      </c>
      <c r="E19" s="422" t="s">
        <v>1861</v>
      </c>
      <c r="F19" s="150" t="s">
        <v>303</v>
      </c>
      <c r="G19" s="963" t="s">
        <v>1862</v>
      </c>
      <c r="H19" s="300"/>
      <c r="J19" s="284" t="n">
        <v>22</v>
      </c>
    </row>
    <row r="20" s="966" customFormat="true" ht="5.25" hidden="true" customHeight="true" outlineLevel="0" collapsed="false">
      <c r="A20" s="291"/>
      <c r="B20" s="291"/>
      <c r="C20" s="964"/>
      <c r="D20" s="965" t="s">
        <v>1113</v>
      </c>
      <c r="E20" s="321"/>
      <c r="F20" s="151"/>
      <c r="G20" s="963"/>
      <c r="J20" s="966" t="n">
        <v>0</v>
      </c>
    </row>
    <row r="21" customFormat="false" ht="15.75" hidden="false" customHeight="true" outlineLevel="0" collapsed="false">
      <c r="A21" s="291"/>
      <c r="B21" s="291"/>
      <c r="C21" s="83"/>
      <c r="D21" s="315"/>
      <c r="E21" s="165" t="s">
        <v>336</v>
      </c>
      <c r="F21" s="317"/>
      <c r="G21" s="963"/>
      <c r="H21" s="960"/>
      <c r="J21" s="284" t="n">
        <v>15</v>
      </c>
    </row>
    <row r="22" s="283" customFormat="true" ht="26.25" hidden="false" customHeight="true" outlineLevel="0" collapsed="false">
      <c r="A22" s="291"/>
      <c r="B22" s="291"/>
      <c r="C22" s="291"/>
      <c r="D22" s="958" t="s">
        <v>90</v>
      </c>
      <c r="E22" s="303" t="s">
        <v>1863</v>
      </c>
      <c r="F22" s="332"/>
      <c r="G22" s="303" t="s">
        <v>1864</v>
      </c>
      <c r="H22" s="967"/>
      <c r="J22" s="283" t="n">
        <v>25</v>
      </c>
    </row>
    <row r="23" s="283" customFormat="true" ht="19.5" hidden="false" customHeight="true" outlineLevel="0" collapsed="false">
      <c r="A23" s="291"/>
      <c r="B23" s="291"/>
      <c r="C23" s="291"/>
      <c r="D23" s="958" t="s">
        <v>91</v>
      </c>
      <c r="E23" s="422" t="s">
        <v>1865</v>
      </c>
      <c r="F23" s="333"/>
      <c r="G23" s="303" t="s">
        <v>1866</v>
      </c>
      <c r="H23" s="967"/>
      <c r="J23" s="283" t="n">
        <v>19</v>
      </c>
    </row>
    <row r="24" s="283" customFormat="true" ht="144" hidden="true" customHeight="true" outlineLevel="0" collapsed="false">
      <c r="A24" s="291"/>
      <c r="B24" s="291"/>
      <c r="C24" s="291"/>
      <c r="D24" s="958" t="s">
        <v>110</v>
      </c>
      <c r="E24" s="326" t="str">
        <f aca="fals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968"/>
      <c r="G24" s="969" t="str">
        <f aca="false">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967"/>
      <c r="J24" s="283" t="n">
        <v>0</v>
      </c>
    </row>
    <row r="25" customFormat="false" ht="11.25" hidden="true" customHeight="true" outlineLevel="0" collapsed="false">
      <c r="A25" s="283" t="s">
        <v>80</v>
      </c>
      <c r="B25" s="283" t="n">
        <v>0</v>
      </c>
      <c r="C25" s="284" t="n">
        <v>3</v>
      </c>
      <c r="D25" s="285" t="n">
        <v>6</v>
      </c>
      <c r="E25" s="284" t="n">
        <v>52</v>
      </c>
      <c r="F25" s="284" t="n">
        <v>48</v>
      </c>
      <c r="G25" s="284" t="n">
        <v>93</v>
      </c>
      <c r="H25" s="284" t="n">
        <v>8</v>
      </c>
      <c r="I25" s="284" t="n">
        <v>64</v>
      </c>
      <c r="J25" s="284" t="n">
        <v>11</v>
      </c>
    </row>
  </sheetData>
  <mergeCells count="6">
    <mergeCell ref="D5:F5"/>
    <mergeCell ref="D6:F6"/>
    <mergeCell ref="E8:F8"/>
    <mergeCell ref="D9:F9"/>
    <mergeCell ref="G9:G10"/>
    <mergeCell ref="G19:G21"/>
  </mergeCells>
  <dataValidations count="2">
    <dataValidation allowBlank="true" error="Допускается ввод не более 900 символов!" errorStyle="stop" errorTitle="Ошибка" operator="lessThanOrEqual" showDropDown="false" showErrorMessage="true" showInputMessage="true" sqref="F12 F14:F18 F22:F23"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2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U2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21" width="3"/>
    <col collapsed="false" customWidth="true" hidden="false" outlineLevel="0" max="5" min="5" style="42" width="6"/>
    <col collapsed="false" customWidth="true" hidden="false" outlineLevel="0" max="6" min="6" style="42" width="46"/>
    <col collapsed="false" customWidth="true" hidden="false" outlineLevel="0" max="8" min="7" style="42" width="16"/>
    <col collapsed="false" customWidth="true" hidden="false" outlineLevel="0" max="9" min="9" style="42" width="35"/>
    <col collapsed="false" customWidth="true" hidden="false" outlineLevel="0" max="10" min="10" style="42" width="89"/>
    <col collapsed="false" customWidth="true" hidden="false" outlineLevel="0" max="11" min="11" style="122" width="3"/>
    <col collapsed="false" customWidth="true" hidden="false" outlineLevel="0" max="14" min="12" style="122" width="8"/>
    <col collapsed="false" customWidth="true" hidden="false" outlineLevel="0" max="15" min="15" style="122" width="25"/>
    <col collapsed="false" customWidth="true" hidden="false" outlineLevel="0" max="16" min="16" style="122" width="14"/>
    <col collapsed="false" customWidth="true" hidden="false" outlineLevel="0" max="20" min="17" style="123" width="8"/>
    <col collapsed="false" customWidth="true" hidden="false" outlineLevel="0" max="254" min="21" style="42" width="8"/>
    <col collapsed="false" customWidth="false" hidden="true" outlineLevel="0" max="255" min="255" style="42" width="9.15"/>
  </cols>
  <sheetData>
    <row r="1" customFormat="false" ht="22.5" hidden="true" customHeight="true" outlineLevel="0" collapsed="false">
      <c r="F1" s="42" t="s">
        <v>1867</v>
      </c>
      <c r="G1" s="42" t="s">
        <v>47</v>
      </c>
      <c r="H1" s="42" t="s">
        <v>49</v>
      </c>
      <c r="IU1" s="42" t="s">
        <v>14</v>
      </c>
    </row>
    <row r="2" s="55" customFormat="true" ht="22.5" hidden="true" customHeight="true" outlineLevel="0" collapsed="false">
      <c r="A2" s="114"/>
      <c r="B2" s="45" t="n">
        <v>1</v>
      </c>
      <c r="C2" s="45"/>
      <c r="D2" s="842" t="s">
        <v>686</v>
      </c>
      <c r="E2" s="150"/>
      <c r="F2" s="334"/>
      <c r="G2" s="334"/>
      <c r="H2" s="334"/>
      <c r="I2" s="970"/>
      <c r="J2" s="971"/>
      <c r="K2" s="972"/>
      <c r="L2" s="49"/>
      <c r="M2" s="49"/>
      <c r="N2" s="122" t="str">
        <f aca="false" t="array" ref="N2:N2">IF(ISERROR(MATCH(MID(O2,1,250),MID(note_ter,1,250),0)),"n","y")</f>
        <v>n</v>
      </c>
      <c r="O2" s="49"/>
      <c r="P2" s="122" t="str">
        <f aca="false">G2&amp;"("&amp;J2&amp;")"</f>
        <v>()</v>
      </c>
      <c r="Q2" s="45"/>
      <c r="R2" s="45"/>
      <c r="S2" s="159"/>
      <c r="T2" s="45"/>
      <c r="U2" s="45"/>
      <c r="V2" s="45"/>
      <c r="W2" s="56"/>
      <c r="X2" s="56"/>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60"/>
      <c r="BK2" s="160"/>
      <c r="BL2" s="160"/>
      <c r="BM2" s="160"/>
      <c r="BN2" s="160"/>
      <c r="BO2" s="160"/>
      <c r="BP2" s="160"/>
      <c r="BQ2" s="160"/>
      <c r="BR2" s="160"/>
      <c r="BS2" s="160"/>
      <c r="BT2" s="56"/>
      <c r="BU2" s="56"/>
      <c r="BV2" s="56"/>
      <c r="BW2" s="56"/>
      <c r="BX2" s="56"/>
      <c r="BY2" s="56"/>
      <c r="BZ2" s="56"/>
      <c r="CA2" s="56"/>
      <c r="CB2" s="56"/>
      <c r="CC2" s="56"/>
      <c r="IU2" s="55" t="n">
        <v>0</v>
      </c>
    </row>
    <row r="3" s="49" customFormat="true" ht="3.75" hidden="false" customHeight="true" outlineLevel="0" collapsed="false">
      <c r="A3" s="124"/>
      <c r="D3" s="125"/>
      <c r="F3" s="126" t="s">
        <v>81</v>
      </c>
      <c r="G3" s="125" t="s">
        <v>82</v>
      </c>
      <c r="H3" s="125"/>
      <c r="I3" s="125"/>
      <c r="J3" s="127" t="s">
        <v>83</v>
      </c>
      <c r="K3" s="126" t="s">
        <v>81</v>
      </c>
      <c r="L3" s="126"/>
      <c r="M3" s="126"/>
      <c r="N3" s="126"/>
      <c r="O3" s="126"/>
      <c r="P3" s="126"/>
      <c r="Q3" s="126"/>
      <c r="R3" s="126"/>
      <c r="S3" s="126"/>
      <c r="T3" s="126"/>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49" t="n">
        <v>4</v>
      </c>
    </row>
    <row r="4" s="133" customFormat="true" ht="14.25" hidden="false" customHeight="true" outlineLevel="0" collapsed="false">
      <c r="A4" s="42"/>
      <c r="B4" s="45"/>
      <c r="C4" s="42"/>
      <c r="D4" s="121"/>
      <c r="E4" s="42"/>
      <c r="F4" s="49"/>
      <c r="G4" s="42"/>
      <c r="H4" s="42"/>
      <c r="I4" s="42"/>
      <c r="J4" s="132"/>
      <c r="K4" s="126"/>
      <c r="L4" s="122"/>
      <c r="M4" s="122"/>
      <c r="N4" s="122"/>
      <c r="O4" s="122"/>
      <c r="P4" s="122"/>
      <c r="Q4" s="123"/>
      <c r="R4" s="123"/>
      <c r="S4" s="123"/>
      <c r="T4" s="123"/>
      <c r="IU4" s="133" t="n">
        <v>14</v>
      </c>
    </row>
    <row r="5" s="133" customFormat="true" ht="27" hidden="false" customHeight="true" outlineLevel="0" collapsed="false">
      <c r="A5" s="42"/>
      <c r="B5" s="45"/>
      <c r="C5" s="42"/>
      <c r="D5" s="121"/>
      <c r="E5" s="134" t="str">
        <f aca="false">"Форма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34"/>
      <c r="G5" s="134"/>
      <c r="H5" s="134"/>
      <c r="I5" s="134"/>
      <c r="J5" s="134"/>
      <c r="K5" s="126"/>
      <c r="L5" s="122"/>
      <c r="M5" s="122"/>
      <c r="N5" s="122"/>
      <c r="O5" s="122"/>
      <c r="P5" s="122"/>
      <c r="Q5" s="123"/>
      <c r="R5" s="123"/>
      <c r="S5" s="123"/>
      <c r="T5" s="123"/>
      <c r="IU5" s="133" t="n">
        <v>26</v>
      </c>
    </row>
    <row r="6" s="133" customFormat="true" ht="14.25" hidden="false" customHeight="true" outlineLevel="0" collapsed="false">
      <c r="A6" s="42"/>
      <c r="B6" s="45"/>
      <c r="C6" s="42"/>
      <c r="D6" s="121"/>
      <c r="E6" s="42"/>
      <c r="F6" s="135"/>
      <c r="G6" s="135"/>
      <c r="H6" s="135"/>
      <c r="I6" s="135"/>
      <c r="J6" s="114"/>
      <c r="K6" s="122"/>
      <c r="L6" s="122"/>
      <c r="M6" s="122"/>
      <c r="N6" s="122"/>
      <c r="O6" s="122"/>
      <c r="P6" s="122"/>
      <c r="Q6" s="123"/>
      <c r="R6" s="123"/>
      <c r="S6" s="123"/>
      <c r="T6" s="123"/>
      <c r="IU6" s="133" t="n">
        <v>14</v>
      </c>
    </row>
    <row r="7" s="133" customFormat="true" ht="14.25" hidden="false" customHeight="true" outlineLevel="0" collapsed="false">
      <c r="A7" s="42"/>
      <c r="B7" s="45"/>
      <c r="C7" s="42"/>
      <c r="D7" s="121"/>
      <c r="E7" s="263" t="s">
        <v>297</v>
      </c>
      <c r="F7" s="263"/>
      <c r="G7" s="263"/>
      <c r="H7" s="263"/>
      <c r="I7" s="263"/>
      <c r="J7" s="139" t="s">
        <v>298</v>
      </c>
      <c r="K7" s="122"/>
      <c r="L7" s="122"/>
      <c r="M7" s="122"/>
      <c r="N7" s="122"/>
      <c r="O7" s="122"/>
      <c r="P7" s="122"/>
      <c r="Q7" s="123"/>
      <c r="R7" s="123"/>
      <c r="S7" s="123"/>
      <c r="T7" s="123"/>
      <c r="IU7" s="133" t="n">
        <v>14</v>
      </c>
    </row>
    <row r="8" s="133" customFormat="true" ht="21" hidden="false" customHeight="true" outlineLevel="0" collapsed="false">
      <c r="A8" s="42"/>
      <c r="B8" s="45"/>
      <c r="C8" s="42"/>
      <c r="D8" s="121"/>
      <c r="E8" s="973" t="s">
        <v>86</v>
      </c>
      <c r="F8" s="974" t="s">
        <v>1867</v>
      </c>
      <c r="G8" s="974" t="s">
        <v>47</v>
      </c>
      <c r="H8" s="974" t="s">
        <v>49</v>
      </c>
      <c r="I8" s="974" t="s">
        <v>1868</v>
      </c>
      <c r="J8" s="139"/>
      <c r="K8" s="122"/>
      <c r="L8" s="122"/>
      <c r="M8" s="122"/>
      <c r="N8" s="122"/>
      <c r="O8" s="122"/>
      <c r="P8" s="122"/>
      <c r="Q8" s="123"/>
      <c r="R8" s="123"/>
      <c r="S8" s="123"/>
      <c r="T8" s="123"/>
      <c r="IU8" s="133" t="n">
        <v>20</v>
      </c>
    </row>
    <row r="9" s="55" customFormat="true" ht="23.25" hidden="false" customHeight="true" outlineLevel="0" collapsed="false">
      <c r="A9" s="42"/>
      <c r="B9" s="45" t="n">
        <v>1</v>
      </c>
      <c r="C9" s="45"/>
      <c r="D9" s="162"/>
      <c r="E9" s="150" t="n">
        <v>1</v>
      </c>
      <c r="F9" s="975"/>
      <c r="G9" s="334"/>
      <c r="H9" s="334"/>
      <c r="I9" s="976"/>
      <c r="J9" s="844" t="str">
        <f aca="false">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972"/>
      <c r="L9" s="49"/>
      <c r="M9" s="49"/>
      <c r="N9" s="122" t="str">
        <f aca="false" t="array" ref="N9:N9">IF(ISERROR(MATCH(MID(O9,1,250),MID(note_ter,1,250),0)),"n","y")</f>
        <v>n</v>
      </c>
      <c r="O9" s="49"/>
      <c r="P9" s="122" t="str">
        <f aca="false">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45"/>
      <c r="R9" s="45"/>
      <c r="S9" s="159"/>
      <c r="T9" s="45"/>
      <c r="U9" s="45"/>
      <c r="V9" s="45"/>
      <c r="W9" s="56"/>
      <c r="X9" s="56"/>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56"/>
      <c r="BU9" s="56"/>
      <c r="BV9" s="56"/>
      <c r="BW9" s="56"/>
      <c r="BX9" s="56"/>
      <c r="BY9" s="56"/>
      <c r="BZ9" s="56"/>
      <c r="CA9" s="56"/>
      <c r="CB9" s="56"/>
      <c r="CC9" s="56"/>
      <c r="IU9" s="55" t="n">
        <v>22</v>
      </c>
    </row>
    <row r="10" s="55" customFormat="true" ht="15.75" hidden="false" customHeight="true" outlineLevel="0" collapsed="false">
      <c r="A10" s="42"/>
      <c r="B10" s="45"/>
      <c r="C10" s="161"/>
      <c r="D10" s="162"/>
      <c r="E10" s="977"/>
      <c r="F10" s="606" t="s">
        <v>1869</v>
      </c>
      <c r="G10" s="978"/>
      <c r="H10" s="978"/>
      <c r="I10" s="979"/>
      <c r="J10" s="844"/>
      <c r="K10" s="980"/>
      <c r="L10" s="49"/>
      <c r="M10" s="49"/>
      <c r="N10" s="49"/>
      <c r="O10" s="122"/>
      <c r="P10" s="49"/>
      <c r="Q10" s="45"/>
      <c r="R10" s="45"/>
      <c r="S10" s="159"/>
      <c r="T10" s="45"/>
      <c r="U10" s="45"/>
      <c r="V10" s="45"/>
      <c r="W10" s="56"/>
      <c r="X10" s="56"/>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56"/>
      <c r="BU10" s="56"/>
      <c r="BV10" s="56"/>
      <c r="BW10" s="56"/>
      <c r="BX10" s="56"/>
      <c r="BY10" s="56"/>
      <c r="BZ10" s="56"/>
      <c r="CA10" s="56"/>
      <c r="CB10" s="56"/>
      <c r="CC10" s="56"/>
      <c r="IU10" s="55" t="n">
        <v>15</v>
      </c>
    </row>
    <row r="11" s="133" customFormat="true" ht="21.75" hidden="false" customHeight="true" outlineLevel="0" collapsed="false">
      <c r="A11" s="42"/>
      <c r="B11" s="45"/>
      <c r="C11" s="42"/>
      <c r="D11" s="121"/>
      <c r="E11" s="172"/>
      <c r="F11" s="172"/>
      <c r="G11" s="172"/>
      <c r="H11" s="172"/>
      <c r="I11" s="172"/>
      <c r="J11" s="172"/>
      <c r="K11" s="122"/>
      <c r="L11" s="122"/>
      <c r="M11" s="122"/>
      <c r="N11" s="122"/>
      <c r="O11" s="122"/>
      <c r="P11" s="122"/>
      <c r="Q11" s="123"/>
      <c r="R11" s="123"/>
      <c r="S11" s="123"/>
      <c r="T11" s="123"/>
      <c r="IU11" s="133" t="n">
        <v>21</v>
      </c>
    </row>
    <row r="12" s="133" customFormat="true" ht="14.25" hidden="false" customHeight="true" outlineLevel="0" collapsed="false">
      <c r="A12" s="42"/>
      <c r="B12" s="45"/>
      <c r="C12" s="42"/>
      <c r="D12" s="121"/>
      <c r="E12" s="42"/>
      <c r="F12" s="42"/>
      <c r="G12" s="42"/>
      <c r="H12" s="42"/>
      <c r="I12" s="42"/>
      <c r="J12" s="42"/>
      <c r="K12" s="122"/>
      <c r="L12" s="122"/>
      <c r="M12" s="122"/>
      <c r="N12" s="122"/>
      <c r="O12" s="122"/>
      <c r="P12" s="122"/>
      <c r="Q12" s="123"/>
      <c r="R12" s="123"/>
      <c r="S12" s="123"/>
      <c r="T12" s="123"/>
      <c r="IU12" s="133" t="n">
        <v>14</v>
      </c>
    </row>
    <row r="13" s="133" customFormat="true" ht="0.75" hidden="false" customHeight="true" outlineLevel="0" collapsed="false">
      <c r="A13" s="42"/>
      <c r="B13" s="45"/>
      <c r="C13" s="42"/>
      <c r="D13" s="121"/>
      <c r="E13" s="42"/>
      <c r="F13" s="42"/>
      <c r="G13" s="42"/>
      <c r="H13" s="42"/>
      <c r="I13" s="42"/>
      <c r="J13" s="42"/>
      <c r="K13" s="122"/>
      <c r="L13" s="122"/>
      <c r="M13" s="122"/>
      <c r="N13" s="122"/>
      <c r="O13" s="122"/>
      <c r="P13" s="122"/>
      <c r="Q13" s="123"/>
      <c r="R13" s="123"/>
      <c r="S13" s="123"/>
      <c r="T13" s="123"/>
      <c r="IU13" s="133" t="n">
        <v>1</v>
      </c>
    </row>
    <row r="14" s="173" customFormat="true" ht="10.5" hidden="false" customHeight="true" outlineLevel="0" collapsed="false">
      <c r="B14" s="174"/>
      <c r="D14" s="175"/>
      <c r="K14" s="122"/>
      <c r="L14" s="122"/>
      <c r="M14" s="122"/>
      <c r="N14" s="122"/>
      <c r="O14" s="122"/>
      <c r="P14" s="122"/>
      <c r="Q14" s="123"/>
      <c r="R14" s="123"/>
      <c r="S14" s="123"/>
      <c r="T14" s="123"/>
      <c r="IU14" s="173" t="n">
        <v>10</v>
      </c>
    </row>
    <row r="15" s="173" customFormat="true" ht="10.5" hidden="false" customHeight="true" outlineLevel="0" collapsed="false">
      <c r="B15" s="174"/>
      <c r="D15" s="175"/>
      <c r="K15" s="122"/>
      <c r="L15" s="122"/>
      <c r="M15" s="122"/>
      <c r="N15" s="122"/>
      <c r="O15" s="122"/>
      <c r="P15" s="122"/>
      <c r="Q15" s="123"/>
      <c r="R15" s="123"/>
      <c r="S15" s="123"/>
      <c r="T15" s="123"/>
      <c r="IU15" s="173" t="n">
        <v>10</v>
      </c>
    </row>
    <row r="16" customFormat="false" ht="14.25" hidden="false" customHeight="true" outlineLevel="0" collapsed="false">
      <c r="IU16" s="42" t="n">
        <v>14</v>
      </c>
    </row>
    <row r="17" customFormat="false" ht="14.25" hidden="false" customHeight="true" outlineLevel="0" collapsed="false">
      <c r="IU17" s="42" t="n">
        <v>14</v>
      </c>
    </row>
    <row r="18" customFormat="false" ht="14.25" hidden="false" customHeight="true" outlineLevel="0" collapsed="false">
      <c r="IU18" s="42" t="n">
        <v>14</v>
      </c>
    </row>
    <row r="19" customFormat="false" ht="14.25" hidden="false" customHeight="true" outlineLevel="0" collapsed="false">
      <c r="G19" s="55"/>
      <c r="H19" s="55"/>
      <c r="I19" s="55"/>
      <c r="IU19" s="42" t="n">
        <v>14</v>
      </c>
    </row>
    <row r="20" customFormat="false" ht="14.25" hidden="false" customHeight="true" outlineLevel="0" collapsed="false">
      <c r="IU20" s="42" t="n">
        <v>14</v>
      </c>
    </row>
    <row r="21" customFormat="false" ht="14.25" hidden="false" customHeight="true" outlineLevel="0" collapsed="false">
      <c r="IU21" s="42" t="n">
        <v>14</v>
      </c>
    </row>
    <row r="22" customFormat="false" ht="14.25" hidden="false" customHeight="true" outlineLevel="0" collapsed="false">
      <c r="IU22" s="42" t="n">
        <v>14</v>
      </c>
    </row>
    <row r="23" customFormat="false" ht="14.25" hidden="false" customHeight="true" outlineLevel="0" collapsed="false">
      <c r="K23" s="42"/>
      <c r="L23" s="42"/>
      <c r="M23" s="42"/>
      <c r="IU23" s="42" t="n">
        <v>14</v>
      </c>
    </row>
    <row r="24" customFormat="false" ht="22.5" hidden="true" customHeight="true" outlineLevel="0" collapsed="false">
      <c r="A24" s="42" t="s">
        <v>80</v>
      </c>
      <c r="B24" s="45" t="n">
        <v>0</v>
      </c>
      <c r="C24" s="42" t="n">
        <v>0</v>
      </c>
      <c r="D24" s="121" t="n">
        <v>3</v>
      </c>
      <c r="E24" s="42" t="n">
        <v>6</v>
      </c>
      <c r="F24" s="42" t="n">
        <v>46</v>
      </c>
      <c r="G24" s="42" t="n">
        <v>16</v>
      </c>
      <c r="H24" s="42" t="n">
        <v>16</v>
      </c>
      <c r="I24" s="42" t="n">
        <v>35</v>
      </c>
      <c r="J24" s="42" t="n">
        <v>89</v>
      </c>
      <c r="K24" s="122" t="n">
        <v>3</v>
      </c>
      <c r="L24" s="122" t="n">
        <v>8</v>
      </c>
      <c r="M24" s="122" t="n">
        <v>8</v>
      </c>
      <c r="N24" s="122" t="n">
        <v>8</v>
      </c>
      <c r="O24" s="122" t="n">
        <v>25</v>
      </c>
      <c r="P24" s="122" t="n">
        <v>14</v>
      </c>
      <c r="Q24" s="123" t="n">
        <v>8</v>
      </c>
      <c r="R24" s="123" t="n">
        <v>8</v>
      </c>
      <c r="S24" s="123" t="n">
        <v>8</v>
      </c>
      <c r="T24" s="123" t="n">
        <v>8</v>
      </c>
      <c r="U24" s="42" t="n">
        <v>8</v>
      </c>
      <c r="V24" s="42" t="n">
        <v>8</v>
      </c>
      <c r="W24" s="42" t="n">
        <v>8</v>
      </c>
      <c r="X24" s="42" t="n">
        <v>8</v>
      </c>
      <c r="Y24" s="42" t="n">
        <v>8</v>
      </c>
      <c r="Z24" s="42" t="n">
        <v>8</v>
      </c>
      <c r="AA24" s="42" t="n">
        <v>8</v>
      </c>
      <c r="AB24" s="42" t="n">
        <v>8</v>
      </c>
      <c r="AC24" s="42" t="n">
        <v>8</v>
      </c>
      <c r="AD24" s="42" t="n">
        <v>8</v>
      </c>
      <c r="AE24" s="42" t="n">
        <v>8</v>
      </c>
      <c r="AF24" s="42" t="n">
        <v>8</v>
      </c>
      <c r="AG24" s="42" t="n">
        <v>8</v>
      </c>
      <c r="AH24" s="42" t="n">
        <v>8</v>
      </c>
      <c r="AI24" s="42" t="n">
        <v>8</v>
      </c>
      <c r="AJ24" s="42" t="n">
        <v>8</v>
      </c>
      <c r="AK24" s="42" t="n">
        <v>8</v>
      </c>
      <c r="AL24" s="42" t="n">
        <v>8</v>
      </c>
      <c r="AM24" s="42" t="n">
        <v>8</v>
      </c>
      <c r="AN24" s="42" t="n">
        <v>8</v>
      </c>
      <c r="AO24" s="42" t="n">
        <v>8</v>
      </c>
      <c r="AP24" s="42" t="n">
        <v>8</v>
      </c>
      <c r="AQ24" s="42" t="n">
        <v>8</v>
      </c>
      <c r="AR24" s="42" t="n">
        <v>8</v>
      </c>
      <c r="AS24" s="42" t="n">
        <v>8</v>
      </c>
      <c r="AT24" s="42" t="n">
        <v>8</v>
      </c>
      <c r="AU24" s="42" t="n">
        <v>8</v>
      </c>
      <c r="AV24" s="42" t="n">
        <v>8</v>
      </c>
      <c r="AW24" s="42" t="n">
        <v>8</v>
      </c>
      <c r="AX24" s="42" t="n">
        <v>8</v>
      </c>
      <c r="AY24" s="42" t="n">
        <v>8</v>
      </c>
      <c r="AZ24" s="42" t="n">
        <v>8</v>
      </c>
      <c r="BA24" s="42" t="n">
        <v>8</v>
      </c>
      <c r="BB24" s="42" t="n">
        <v>8</v>
      </c>
      <c r="BC24" s="42" t="n">
        <v>8</v>
      </c>
      <c r="BD24" s="42" t="n">
        <v>8</v>
      </c>
      <c r="BE24" s="42" t="n">
        <v>8</v>
      </c>
      <c r="BF24" s="42" t="n">
        <v>8</v>
      </c>
      <c r="BG24" s="42" t="n">
        <v>8</v>
      </c>
      <c r="BH24" s="42" t="n">
        <v>8</v>
      </c>
      <c r="BI24" s="42" t="n">
        <v>8</v>
      </c>
      <c r="BJ24" s="42" t="n">
        <v>8</v>
      </c>
      <c r="BK24" s="42" t="n">
        <v>8</v>
      </c>
      <c r="BL24" s="42" t="n">
        <v>8</v>
      </c>
      <c r="BM24" s="42" t="n">
        <v>8</v>
      </c>
      <c r="BN24" s="42" t="n">
        <v>8</v>
      </c>
      <c r="BO24" s="42" t="n">
        <v>8</v>
      </c>
      <c r="BP24" s="42" t="n">
        <v>8</v>
      </c>
      <c r="BQ24" s="42" t="n">
        <v>8</v>
      </c>
      <c r="BR24" s="42" t="n">
        <v>8</v>
      </c>
      <c r="BS24" s="42" t="n">
        <v>8</v>
      </c>
      <c r="BT24" s="42" t="n">
        <v>8</v>
      </c>
      <c r="BU24" s="42" t="n">
        <v>8</v>
      </c>
      <c r="BV24" s="42" t="n">
        <v>8</v>
      </c>
      <c r="BW24" s="42" t="n">
        <v>8</v>
      </c>
      <c r="BX24" s="42" t="n">
        <v>8</v>
      </c>
      <c r="BY24" s="42" t="n">
        <v>8</v>
      </c>
      <c r="BZ24" s="42" t="n">
        <v>8</v>
      </c>
      <c r="CA24" s="42" t="n">
        <v>8</v>
      </c>
      <c r="CB24" s="42" t="n">
        <v>8</v>
      </c>
      <c r="CC24" s="42" t="n">
        <v>8</v>
      </c>
      <c r="CD24" s="42" t="n">
        <v>8</v>
      </c>
      <c r="CE24" s="42" t="n">
        <v>8</v>
      </c>
      <c r="CF24" s="42" t="n">
        <v>8</v>
      </c>
      <c r="CG24" s="42" t="n">
        <v>8</v>
      </c>
      <c r="CH24" s="42" t="n">
        <v>8</v>
      </c>
      <c r="CI24" s="42" t="n">
        <v>8</v>
      </c>
      <c r="CJ24" s="42" t="n">
        <v>8</v>
      </c>
      <c r="CK24" s="42" t="n">
        <v>8</v>
      </c>
      <c r="CL24" s="42" t="n">
        <v>8</v>
      </c>
      <c r="CM24" s="42" t="n">
        <v>8</v>
      </c>
      <c r="CN24" s="42" t="n">
        <v>8</v>
      </c>
      <c r="CO24" s="42" t="n">
        <v>8</v>
      </c>
      <c r="CP24" s="42" t="n">
        <v>8</v>
      </c>
      <c r="CQ24" s="42" t="n">
        <v>8</v>
      </c>
      <c r="CR24" s="42" t="n">
        <v>8</v>
      </c>
      <c r="CS24" s="42" t="n">
        <v>8</v>
      </c>
      <c r="CT24" s="42" t="n">
        <v>8</v>
      </c>
      <c r="CU24" s="42" t="n">
        <v>8</v>
      </c>
      <c r="CV24" s="42" t="n">
        <v>8</v>
      </c>
      <c r="CW24" s="42" t="n">
        <v>8</v>
      </c>
      <c r="CX24" s="42" t="n">
        <v>8</v>
      </c>
      <c r="CY24" s="42" t="n">
        <v>8</v>
      </c>
      <c r="CZ24" s="42" t="n">
        <v>8</v>
      </c>
      <c r="DA24" s="42" t="n">
        <v>8</v>
      </c>
      <c r="DB24" s="42" t="n">
        <v>8</v>
      </c>
      <c r="DC24" s="42" t="n">
        <v>8</v>
      </c>
      <c r="DD24" s="42" t="n">
        <v>8</v>
      </c>
      <c r="DE24" s="42" t="n">
        <v>8</v>
      </c>
      <c r="DF24" s="42" t="n">
        <v>8</v>
      </c>
      <c r="DG24" s="42" t="n">
        <v>8</v>
      </c>
      <c r="DH24" s="42" t="n">
        <v>8</v>
      </c>
      <c r="DI24" s="42" t="n">
        <v>8</v>
      </c>
      <c r="DJ24" s="42" t="n">
        <v>8</v>
      </c>
      <c r="DK24" s="42" t="n">
        <v>8</v>
      </c>
      <c r="DL24" s="42" t="n">
        <v>8</v>
      </c>
      <c r="DM24" s="42" t="n">
        <v>8</v>
      </c>
      <c r="DN24" s="42" t="n">
        <v>8</v>
      </c>
      <c r="DO24" s="42" t="n">
        <v>8</v>
      </c>
      <c r="DP24" s="42" t="n">
        <v>8</v>
      </c>
      <c r="DQ24" s="42" t="n">
        <v>8</v>
      </c>
      <c r="DR24" s="42" t="n">
        <v>8</v>
      </c>
      <c r="DS24" s="42" t="n">
        <v>8</v>
      </c>
      <c r="DT24" s="42" t="n">
        <v>8</v>
      </c>
      <c r="DU24" s="42" t="n">
        <v>8</v>
      </c>
      <c r="DV24" s="42" t="n">
        <v>8</v>
      </c>
      <c r="DW24" s="42" t="n">
        <v>8</v>
      </c>
      <c r="DX24" s="42" t="n">
        <v>8</v>
      </c>
      <c r="DY24" s="42" t="n">
        <v>8</v>
      </c>
      <c r="DZ24" s="42" t="n">
        <v>8</v>
      </c>
      <c r="EA24" s="42" t="n">
        <v>8</v>
      </c>
      <c r="EB24" s="42" t="n">
        <v>8</v>
      </c>
      <c r="EC24" s="42" t="n">
        <v>8</v>
      </c>
      <c r="ED24" s="42" t="n">
        <v>8</v>
      </c>
      <c r="EE24" s="42" t="n">
        <v>8</v>
      </c>
      <c r="EF24" s="42" t="n">
        <v>8</v>
      </c>
      <c r="EG24" s="42" t="n">
        <v>8</v>
      </c>
      <c r="EH24" s="42" t="n">
        <v>8</v>
      </c>
      <c r="EI24" s="42" t="n">
        <v>8</v>
      </c>
      <c r="EJ24" s="42" t="n">
        <v>8</v>
      </c>
      <c r="EK24" s="42" t="n">
        <v>8</v>
      </c>
      <c r="EL24" s="42" t="n">
        <v>8</v>
      </c>
      <c r="EM24" s="42" t="n">
        <v>8</v>
      </c>
      <c r="EN24" s="42" t="n">
        <v>8</v>
      </c>
      <c r="EO24" s="42" t="n">
        <v>8</v>
      </c>
      <c r="EP24" s="42" t="n">
        <v>8</v>
      </c>
      <c r="EQ24" s="42" t="n">
        <v>8</v>
      </c>
      <c r="ER24" s="42" t="n">
        <v>8</v>
      </c>
      <c r="ES24" s="42" t="n">
        <v>8</v>
      </c>
      <c r="ET24" s="42" t="n">
        <v>8</v>
      </c>
      <c r="EU24" s="42" t="n">
        <v>8</v>
      </c>
      <c r="EV24" s="42" t="n">
        <v>8</v>
      </c>
      <c r="EW24" s="42" t="n">
        <v>8</v>
      </c>
      <c r="EX24" s="42" t="n">
        <v>8</v>
      </c>
      <c r="EY24" s="42" t="n">
        <v>8</v>
      </c>
      <c r="EZ24" s="42" t="n">
        <v>8</v>
      </c>
      <c r="FA24" s="42" t="n">
        <v>8</v>
      </c>
      <c r="FB24" s="42" t="n">
        <v>8</v>
      </c>
      <c r="FC24" s="42" t="n">
        <v>8</v>
      </c>
      <c r="FD24" s="42" t="n">
        <v>8</v>
      </c>
      <c r="FE24" s="42" t="n">
        <v>8</v>
      </c>
      <c r="FF24" s="42" t="n">
        <v>8</v>
      </c>
      <c r="FG24" s="42" t="n">
        <v>8</v>
      </c>
      <c r="FH24" s="42" t="n">
        <v>8</v>
      </c>
      <c r="FI24" s="42" t="n">
        <v>8</v>
      </c>
      <c r="FJ24" s="42" t="n">
        <v>8</v>
      </c>
      <c r="FK24" s="42" t="n">
        <v>8</v>
      </c>
      <c r="FL24" s="42" t="n">
        <v>8</v>
      </c>
      <c r="FM24" s="42" t="n">
        <v>8</v>
      </c>
      <c r="FN24" s="42" t="n">
        <v>8</v>
      </c>
      <c r="FO24" s="42" t="n">
        <v>8</v>
      </c>
      <c r="FP24" s="42" t="n">
        <v>8</v>
      </c>
      <c r="FQ24" s="42" t="n">
        <v>8</v>
      </c>
      <c r="FR24" s="42" t="n">
        <v>8</v>
      </c>
      <c r="FS24" s="42" t="n">
        <v>8</v>
      </c>
      <c r="FT24" s="42" t="n">
        <v>8</v>
      </c>
      <c r="FU24" s="42" t="n">
        <v>8</v>
      </c>
      <c r="FV24" s="42" t="n">
        <v>8</v>
      </c>
      <c r="FW24" s="42" t="n">
        <v>8</v>
      </c>
      <c r="FX24" s="42" t="n">
        <v>8</v>
      </c>
      <c r="FY24" s="42" t="n">
        <v>8</v>
      </c>
      <c r="FZ24" s="42" t="n">
        <v>8</v>
      </c>
      <c r="GA24" s="42" t="n">
        <v>8</v>
      </c>
      <c r="GB24" s="42" t="n">
        <v>8</v>
      </c>
      <c r="GC24" s="42" t="n">
        <v>8</v>
      </c>
      <c r="GD24" s="42" t="n">
        <v>8</v>
      </c>
      <c r="GE24" s="42" t="n">
        <v>8</v>
      </c>
      <c r="GF24" s="42" t="n">
        <v>8</v>
      </c>
      <c r="GG24" s="42" t="n">
        <v>8</v>
      </c>
      <c r="GH24" s="42" t="n">
        <v>8</v>
      </c>
      <c r="GI24" s="42" t="n">
        <v>8</v>
      </c>
      <c r="GJ24" s="42" t="n">
        <v>8</v>
      </c>
      <c r="GK24" s="42" t="n">
        <v>8</v>
      </c>
      <c r="GL24" s="42" t="n">
        <v>8</v>
      </c>
      <c r="GM24" s="42" t="n">
        <v>8</v>
      </c>
      <c r="GN24" s="42" t="n">
        <v>8</v>
      </c>
      <c r="GO24" s="42" t="n">
        <v>8</v>
      </c>
      <c r="GP24" s="42" t="n">
        <v>8</v>
      </c>
      <c r="GQ24" s="42" t="n">
        <v>8</v>
      </c>
      <c r="GR24" s="42" t="n">
        <v>8</v>
      </c>
      <c r="GS24" s="42" t="n">
        <v>8</v>
      </c>
      <c r="GT24" s="42" t="n">
        <v>8</v>
      </c>
      <c r="GU24" s="42" t="n">
        <v>8</v>
      </c>
      <c r="GV24" s="42" t="n">
        <v>8</v>
      </c>
      <c r="GW24" s="42" t="n">
        <v>8</v>
      </c>
      <c r="GX24" s="42" t="n">
        <v>8</v>
      </c>
      <c r="GY24" s="42" t="n">
        <v>8</v>
      </c>
      <c r="GZ24" s="42" t="n">
        <v>8</v>
      </c>
      <c r="HA24" s="42" t="n">
        <v>8</v>
      </c>
      <c r="HB24" s="42" t="n">
        <v>8</v>
      </c>
      <c r="HC24" s="42" t="n">
        <v>8</v>
      </c>
      <c r="HD24" s="42" t="n">
        <v>8</v>
      </c>
      <c r="HE24" s="42" t="n">
        <v>8</v>
      </c>
      <c r="HF24" s="42" t="n">
        <v>8</v>
      </c>
      <c r="HG24" s="42" t="n">
        <v>8</v>
      </c>
      <c r="HH24" s="42" t="n">
        <v>8</v>
      </c>
      <c r="HI24" s="42" t="n">
        <v>8</v>
      </c>
      <c r="HJ24" s="42" t="n">
        <v>8</v>
      </c>
      <c r="HK24" s="42" t="n">
        <v>8</v>
      </c>
      <c r="HL24" s="42" t="n">
        <v>8</v>
      </c>
      <c r="HM24" s="42" t="n">
        <v>8</v>
      </c>
      <c r="HN24" s="42" t="n">
        <v>8</v>
      </c>
      <c r="HO24" s="42" t="n">
        <v>8</v>
      </c>
      <c r="HP24" s="42" t="n">
        <v>8</v>
      </c>
      <c r="HQ24" s="42" t="n">
        <v>8</v>
      </c>
      <c r="HR24" s="42" t="n">
        <v>8</v>
      </c>
      <c r="HS24" s="42" t="n">
        <v>8</v>
      </c>
      <c r="HT24" s="42" t="n">
        <v>8</v>
      </c>
      <c r="HU24" s="42" t="n">
        <v>8</v>
      </c>
      <c r="HV24" s="42" t="n">
        <v>8</v>
      </c>
      <c r="HW24" s="42" t="n">
        <v>8</v>
      </c>
      <c r="HX24" s="42" t="n">
        <v>8</v>
      </c>
      <c r="HY24" s="42" t="n">
        <v>8</v>
      </c>
      <c r="HZ24" s="42" t="n">
        <v>8</v>
      </c>
      <c r="IA24" s="42" t="n">
        <v>8</v>
      </c>
      <c r="IB24" s="42" t="n">
        <v>8</v>
      </c>
      <c r="IC24" s="42" t="n">
        <v>8</v>
      </c>
      <c r="ID24" s="42" t="n">
        <v>8</v>
      </c>
      <c r="IE24" s="42" t="n">
        <v>8</v>
      </c>
      <c r="IF24" s="42" t="n">
        <v>8</v>
      </c>
      <c r="IG24" s="42" t="n">
        <v>8</v>
      </c>
      <c r="IH24" s="42" t="n">
        <v>8</v>
      </c>
      <c r="II24" s="42" t="n">
        <v>8</v>
      </c>
      <c r="IJ24" s="42" t="n">
        <v>8</v>
      </c>
      <c r="IK24" s="42" t="n">
        <v>8</v>
      </c>
      <c r="IL24" s="42" t="n">
        <v>8</v>
      </c>
      <c r="IM24" s="42" t="n">
        <v>8</v>
      </c>
      <c r="IN24" s="42" t="n">
        <v>8</v>
      </c>
      <c r="IO24" s="42" t="n">
        <v>8</v>
      </c>
      <c r="IP24" s="42" t="n">
        <v>8</v>
      </c>
      <c r="IQ24" s="42" t="n">
        <v>8</v>
      </c>
      <c r="IR24" s="42" t="n">
        <v>8</v>
      </c>
      <c r="IS24" s="42" t="n">
        <v>8</v>
      </c>
      <c r="IT24" s="42" t="n">
        <v>8</v>
      </c>
      <c r="IU24" s="42" t="n">
        <v>23</v>
      </c>
    </row>
  </sheetData>
  <mergeCells count="4">
    <mergeCell ref="E5:J5"/>
    <mergeCell ref="E7:I7"/>
    <mergeCell ref="J7:J8"/>
    <mergeCell ref="J9:J10"/>
  </mergeCells>
  <dataValidations count="2">
    <dataValidation allowBlank="true" errorStyle="stop" operator="between" showDropDown="false" showErrorMessage="true" showInputMessage="true" sqref="I3" type="textLength">
      <formula1>13</formula1>
      <formula2>15</formula2>
    </dataValidation>
    <dataValidation allowBlank="true" errorStyle="stop" operator="between" prompt="ОГРН состоит из 13 цифр, ОГРНИП - из 15" showDropDown="false" showErrorMessage="true" showInputMessage="true" sqref="I2 I9" type="textLength">
      <formula1>13</formula1>
      <formula2>15</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21" width="3"/>
    <col collapsed="false" customWidth="true" hidden="false" outlineLevel="0" max="5" min="5" style="42" width="6"/>
    <col collapsed="false" customWidth="true" hidden="false" outlineLevel="0" max="6" min="6" style="42" width="27"/>
    <col collapsed="false" customWidth="true" hidden="false" outlineLevel="0" max="7" min="7" style="42" width="16"/>
    <col collapsed="false" customWidth="true" hidden="false" outlineLevel="0" max="8" min="8" style="42" width="12"/>
    <col collapsed="false" customWidth="true" hidden="false" outlineLevel="0" max="9" min="9" style="42" width="32"/>
    <col collapsed="false" customWidth="true" hidden="false" outlineLevel="0" max="11" min="10" style="42" width="41"/>
    <col collapsed="false" customWidth="true" hidden="false" outlineLevel="0" max="12" min="12" style="42" width="89"/>
    <col collapsed="false" customWidth="true" hidden="false" outlineLevel="0" max="13" min="13" style="122" width="3"/>
    <col collapsed="false" customWidth="true" hidden="false" outlineLevel="0" max="16" min="14" style="122" width="8"/>
    <col collapsed="false" customWidth="true" hidden="false" outlineLevel="0" max="17" min="17" style="122" width="25"/>
    <col collapsed="false" customWidth="true" hidden="false" outlineLevel="0" max="18" min="18" style="122" width="14"/>
    <col collapsed="false" customWidth="true" hidden="false" outlineLevel="0" max="22" min="19" style="123" width="8"/>
    <col collapsed="false" customWidth="true" hidden="false" outlineLevel="0" max="256" min="23" style="42" width="8"/>
    <col collapsed="false" customWidth="false" hidden="true" outlineLevel="0" max="257" min="257" style="42" width="9.15"/>
  </cols>
  <sheetData>
    <row r="1" customFormat="false" ht="22.5" hidden="true" customHeight="true" outlineLevel="0" collapsed="false">
      <c r="IW1" s="42" t="s">
        <v>14</v>
      </c>
    </row>
    <row r="2" s="55" customFormat="true" ht="22.5" hidden="true" customHeight="true" outlineLevel="0" collapsed="false">
      <c r="A2" s="114"/>
      <c r="B2" s="45" t="n">
        <v>1</v>
      </c>
      <c r="C2" s="45"/>
      <c r="D2" s="842" t="s">
        <v>686</v>
      </c>
      <c r="E2" s="263"/>
      <c r="F2" s="475" t="str">
        <f aca="false">IF(ROIV_INFO_NAME="","",ROIV_INFO_NAME)</f>
        <v>Филиал ПАО "ОГК-2" - Серовская ГРЭС, г. Серов</v>
      </c>
      <c r="G2" s="981"/>
      <c r="H2" s="982"/>
      <c r="I2" s="976"/>
      <c r="J2" s="662"/>
      <c r="K2" s="662"/>
      <c r="L2" s="128"/>
      <c r="M2" s="972" t="e">
        <f aca="false">mergevalue(F2)</f>
        <v>#NAME?</v>
      </c>
      <c r="N2" s="49"/>
      <c r="O2" s="49"/>
      <c r="P2" s="122" t="str">
        <f aca="false" t="array" ref="P2:P2">IF(ISERROR(MATCH(MID(Q2,1,250),MID(note_ter,1,250),0)),"n","y")</f>
        <v>n</v>
      </c>
      <c r="Q2" s="49"/>
      <c r="R2" s="122" t="str">
        <f aca="false">G2&amp;"("&amp;L2&amp;")"</f>
        <v>()</v>
      </c>
      <c r="S2" s="45"/>
      <c r="T2" s="45"/>
      <c r="U2" s="159"/>
      <c r="V2" s="45"/>
      <c r="W2" s="45"/>
      <c r="X2" s="45"/>
      <c r="Y2" s="56"/>
      <c r="Z2" s="56"/>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60"/>
      <c r="BK2" s="160"/>
      <c r="BL2" s="160"/>
      <c r="BM2" s="160"/>
      <c r="BN2" s="160"/>
      <c r="BO2" s="160"/>
      <c r="BP2" s="160"/>
      <c r="BQ2" s="160"/>
      <c r="BR2" s="160"/>
      <c r="BS2" s="160"/>
      <c r="BT2" s="160"/>
      <c r="BU2" s="160"/>
      <c r="BV2" s="56"/>
      <c r="BW2" s="56"/>
      <c r="BX2" s="56"/>
      <c r="BY2" s="56"/>
      <c r="BZ2" s="56"/>
      <c r="CA2" s="56"/>
      <c r="CB2" s="56"/>
      <c r="CC2" s="56"/>
      <c r="CD2" s="56"/>
      <c r="CE2" s="56"/>
      <c r="IW2" s="55" t="n">
        <v>0</v>
      </c>
    </row>
    <row r="3" s="49" customFormat="true" ht="5.25" hidden="true" customHeight="true" outlineLevel="0" collapsed="false">
      <c r="A3" s="124"/>
      <c r="D3" s="125"/>
      <c r="F3" s="126" t="s">
        <v>81</v>
      </c>
      <c r="G3" s="983" t="s">
        <v>82</v>
      </c>
      <c r="H3" s="125"/>
      <c r="I3" s="125"/>
      <c r="J3" s="125"/>
      <c r="K3" s="125"/>
      <c r="L3" s="127" t="s">
        <v>83</v>
      </c>
      <c r="M3" s="126" t="s">
        <v>81</v>
      </c>
      <c r="N3" s="126"/>
      <c r="O3" s="126"/>
      <c r="P3" s="126"/>
      <c r="Q3" s="126"/>
      <c r="R3" s="126"/>
      <c r="S3" s="126"/>
      <c r="T3" s="126"/>
      <c r="U3" s="126"/>
      <c r="V3" s="126"/>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49" t="n">
        <v>0</v>
      </c>
    </row>
    <row r="4" s="133" customFormat="true" ht="14.25" hidden="false" customHeight="true" outlineLevel="0" collapsed="false">
      <c r="A4" s="42"/>
      <c r="B4" s="45"/>
      <c r="C4" s="42"/>
      <c r="D4" s="121"/>
      <c r="E4" s="42"/>
      <c r="F4" s="42"/>
      <c r="G4" s="42"/>
      <c r="H4" s="42"/>
      <c r="I4" s="42"/>
      <c r="J4" s="42"/>
      <c r="K4" s="42"/>
      <c r="L4" s="132"/>
      <c r="M4" s="126"/>
      <c r="N4" s="122"/>
      <c r="O4" s="122"/>
      <c r="P4" s="122"/>
      <c r="Q4" s="122"/>
      <c r="R4" s="122"/>
      <c r="S4" s="123"/>
      <c r="T4" s="123"/>
      <c r="U4" s="123"/>
      <c r="V4" s="123"/>
      <c r="IW4" s="133" t="n">
        <v>14</v>
      </c>
    </row>
    <row r="5" s="133" customFormat="true" ht="27" hidden="false" customHeight="true" outlineLevel="0" collapsed="false">
      <c r="A5" s="42"/>
      <c r="B5" s="45"/>
      <c r="C5" s="42"/>
      <c r="D5" s="121"/>
      <c r="E5" s="134" t="str">
        <f aca="false">"Форма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34"/>
      <c r="G5" s="134"/>
      <c r="H5" s="134"/>
      <c r="I5" s="134"/>
      <c r="J5" s="134"/>
      <c r="K5" s="134"/>
      <c r="L5" s="42"/>
      <c r="M5" s="126"/>
      <c r="N5" s="122"/>
      <c r="O5" s="122"/>
      <c r="P5" s="122"/>
      <c r="Q5" s="122"/>
      <c r="R5" s="122"/>
      <c r="S5" s="123"/>
      <c r="T5" s="123"/>
      <c r="U5" s="123"/>
      <c r="V5" s="123"/>
      <c r="IW5" s="133" t="n">
        <v>26</v>
      </c>
    </row>
    <row r="6" s="133" customFormat="true" ht="14.25" hidden="false" customHeight="true" outlineLevel="0" collapsed="false">
      <c r="A6" s="42"/>
      <c r="B6" s="45"/>
      <c r="C6" s="42"/>
      <c r="D6" s="121"/>
      <c r="E6" s="42"/>
      <c r="F6" s="135"/>
      <c r="G6" s="135"/>
      <c r="H6" s="135"/>
      <c r="I6" s="135"/>
      <c r="J6" s="135"/>
      <c r="K6" s="135"/>
      <c r="L6" s="114"/>
      <c r="M6" s="122"/>
      <c r="N6" s="122"/>
      <c r="O6" s="122"/>
      <c r="P6" s="122"/>
      <c r="Q6" s="122"/>
      <c r="R6" s="122"/>
      <c r="S6" s="123"/>
      <c r="T6" s="123"/>
      <c r="U6" s="123"/>
      <c r="V6" s="123"/>
      <c r="IW6" s="133" t="n">
        <v>14</v>
      </c>
    </row>
    <row r="7" s="133" customFormat="true" ht="14.25" hidden="false" customHeight="true" outlineLevel="0" collapsed="false">
      <c r="A7" s="42"/>
      <c r="B7" s="45"/>
      <c r="C7" s="42"/>
      <c r="D7" s="121"/>
      <c r="E7" s="263" t="s">
        <v>297</v>
      </c>
      <c r="F7" s="263"/>
      <c r="G7" s="263"/>
      <c r="H7" s="263"/>
      <c r="I7" s="263"/>
      <c r="J7" s="263"/>
      <c r="K7" s="263"/>
      <c r="L7" s="139" t="s">
        <v>298</v>
      </c>
      <c r="M7" s="122"/>
      <c r="N7" s="122"/>
      <c r="O7" s="122"/>
      <c r="P7" s="122"/>
      <c r="Q7" s="122"/>
      <c r="R7" s="122"/>
      <c r="S7" s="123"/>
      <c r="T7" s="123"/>
      <c r="U7" s="123"/>
      <c r="V7" s="123"/>
      <c r="IW7" s="133" t="n">
        <v>14</v>
      </c>
    </row>
    <row r="8" s="133" customFormat="true" ht="66.75" hidden="false" customHeight="true" outlineLevel="0" collapsed="false">
      <c r="A8" s="42"/>
      <c r="B8" s="45"/>
      <c r="C8" s="42"/>
      <c r="D8" s="121"/>
      <c r="E8" s="141" t="s">
        <v>86</v>
      </c>
      <c r="F8" s="141" t="str">
        <f aca="false">"Наименование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1" t="str">
        <f aca="false">"Заседание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1"/>
      <c r="I8" s="141"/>
      <c r="J8" s="141" t="str">
        <f aca="false">"Принятые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1"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9"/>
      <c r="M8" s="122"/>
      <c r="N8" s="122"/>
      <c r="O8" s="122"/>
      <c r="P8" s="122"/>
      <c r="Q8" s="122"/>
      <c r="R8" s="122"/>
      <c r="S8" s="123"/>
      <c r="T8" s="123"/>
      <c r="U8" s="123"/>
      <c r="V8" s="123"/>
      <c r="IW8" s="133" t="n">
        <v>64</v>
      </c>
    </row>
    <row r="9" s="133" customFormat="true" ht="29.25" hidden="false" customHeight="true" outlineLevel="0" collapsed="false">
      <c r="A9" s="42"/>
      <c r="B9" s="45"/>
      <c r="C9" s="42"/>
      <c r="D9" s="121"/>
      <c r="E9" s="141"/>
      <c r="F9" s="141"/>
      <c r="G9" s="984" t="s">
        <v>1870</v>
      </c>
      <c r="H9" s="984" t="s">
        <v>1871</v>
      </c>
      <c r="I9" s="984" t="s">
        <v>1872</v>
      </c>
      <c r="J9" s="141"/>
      <c r="K9" s="141"/>
      <c r="L9" s="139"/>
      <c r="M9" s="122"/>
      <c r="N9" s="122"/>
      <c r="O9" s="122"/>
      <c r="P9" s="122"/>
      <c r="Q9" s="122"/>
      <c r="R9" s="122"/>
      <c r="S9" s="123"/>
      <c r="T9" s="123"/>
      <c r="U9" s="123"/>
      <c r="V9" s="123"/>
      <c r="IW9" s="133" t="n">
        <v>28</v>
      </c>
    </row>
    <row r="10" s="55" customFormat="true" ht="23.25" hidden="false" customHeight="true" outlineLevel="0" collapsed="false">
      <c r="A10" s="43"/>
      <c r="B10" s="45" t="n">
        <v>1</v>
      </c>
      <c r="C10" s="45"/>
      <c r="D10" s="154"/>
      <c r="E10" s="155" t="n">
        <v>1</v>
      </c>
      <c r="F10" s="985" t="str">
        <f aca="false">IF(ROIV_INFO_NAME="","",ROIV_INFO_NAME)</f>
        <v>Филиал ПАО "ОГК-2" - Серовская ГРЭС, г. Серов</v>
      </c>
      <c r="G10" s="81"/>
      <c r="H10" s="982"/>
      <c r="I10" s="986"/>
      <c r="J10" s="662"/>
      <c r="K10" s="662"/>
      <c r="L10" s="987"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972" t="e">
        <f aca="false">mergevalue(F10)</f>
        <v>#NAME?</v>
      </c>
      <c r="N10" s="49"/>
      <c r="O10" s="49"/>
      <c r="P10" s="122" t="str">
        <f aca="false" t="array" ref="P10:P10">IF(ISERROR(MATCH(MID(Q10,1,250),MID(note_ter,1,250),0)),"n","y")</f>
        <v>n</v>
      </c>
      <c r="Q10" s="49"/>
      <c r="R10" s="122" t="str">
        <f aca="false">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45"/>
      <c r="T10" s="45"/>
      <c r="U10" s="159"/>
      <c r="V10" s="45"/>
      <c r="W10" s="45"/>
      <c r="X10" s="45"/>
      <c r="Y10" s="56"/>
      <c r="Z10" s="56"/>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56"/>
      <c r="BW10" s="56"/>
      <c r="BX10" s="56"/>
      <c r="BY10" s="56"/>
      <c r="BZ10" s="56"/>
      <c r="CA10" s="56"/>
      <c r="CB10" s="56"/>
      <c r="CC10" s="56"/>
      <c r="CD10" s="56"/>
      <c r="CE10" s="56"/>
      <c r="IW10" s="55" t="n">
        <v>22</v>
      </c>
    </row>
    <row r="11" s="55" customFormat="true" ht="15.75" hidden="false" customHeight="true" outlineLevel="0" collapsed="false">
      <c r="A11" s="43"/>
      <c r="B11" s="45"/>
      <c r="C11" s="161"/>
      <c r="D11" s="162"/>
      <c r="E11" s="163"/>
      <c r="F11" s="170" t="s">
        <v>1873</v>
      </c>
      <c r="G11" s="166"/>
      <c r="H11" s="166"/>
      <c r="I11" s="166"/>
      <c r="J11" s="166"/>
      <c r="K11" s="167"/>
      <c r="L11" s="987"/>
      <c r="M11" s="980"/>
      <c r="N11" s="49"/>
      <c r="O11" s="49"/>
      <c r="P11" s="49"/>
      <c r="Q11" s="122"/>
      <c r="R11" s="49"/>
      <c r="S11" s="45"/>
      <c r="T11" s="45"/>
      <c r="U11" s="159"/>
      <c r="V11" s="45"/>
      <c r="W11" s="45"/>
      <c r="X11" s="45"/>
      <c r="Y11" s="56"/>
      <c r="Z11" s="56"/>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56"/>
      <c r="BW11" s="56"/>
      <c r="BX11" s="56"/>
      <c r="BY11" s="56"/>
      <c r="BZ11" s="56"/>
      <c r="CA11" s="56"/>
      <c r="CB11" s="56"/>
      <c r="CC11" s="56"/>
      <c r="CD11" s="56"/>
      <c r="CE11" s="56"/>
      <c r="IW11" s="55" t="n">
        <v>15</v>
      </c>
    </row>
    <row r="12" s="133" customFormat="true" ht="21.75" hidden="false" customHeight="true" outlineLevel="0" collapsed="false">
      <c r="A12" s="42"/>
      <c r="B12" s="45"/>
      <c r="C12" s="42"/>
      <c r="D12" s="121"/>
      <c r="E12" s="172"/>
      <c r="F12" s="172"/>
      <c r="G12" s="172"/>
      <c r="H12" s="172"/>
      <c r="I12" s="172"/>
      <c r="J12" s="172"/>
      <c r="K12" s="172"/>
      <c r="L12" s="172"/>
      <c r="M12" s="122"/>
      <c r="N12" s="122"/>
      <c r="O12" s="122"/>
      <c r="P12" s="122"/>
      <c r="Q12" s="122"/>
      <c r="R12" s="122"/>
      <c r="S12" s="123"/>
      <c r="T12" s="123"/>
      <c r="U12" s="123"/>
      <c r="V12" s="123"/>
      <c r="IW12" s="133" t="n">
        <v>21</v>
      </c>
    </row>
    <row r="13" s="133" customFormat="true" ht="14.25" hidden="false" customHeight="true" outlineLevel="0" collapsed="false">
      <c r="A13" s="42"/>
      <c r="B13" s="45"/>
      <c r="C13" s="42"/>
      <c r="D13" s="121"/>
      <c r="E13" s="42"/>
      <c r="F13" s="42"/>
      <c r="G13" s="42"/>
      <c r="H13" s="42"/>
      <c r="I13" s="42"/>
      <c r="J13" s="42"/>
      <c r="K13" s="42"/>
      <c r="L13" s="42"/>
      <c r="M13" s="122"/>
      <c r="N13" s="122"/>
      <c r="O13" s="122"/>
      <c r="P13" s="122"/>
      <c r="Q13" s="122"/>
      <c r="R13" s="122"/>
      <c r="S13" s="123"/>
      <c r="T13" s="123"/>
      <c r="U13" s="123"/>
      <c r="V13" s="123"/>
      <c r="IW13" s="133" t="n">
        <v>14</v>
      </c>
    </row>
    <row r="14" s="133" customFormat="true" ht="0.75" hidden="false" customHeight="true" outlineLevel="0" collapsed="false">
      <c r="A14" s="42"/>
      <c r="B14" s="45"/>
      <c r="C14" s="42"/>
      <c r="D14" s="121"/>
      <c r="E14" s="42"/>
      <c r="F14" s="42"/>
      <c r="G14" s="42"/>
      <c r="H14" s="42"/>
      <c r="I14" s="42"/>
      <c r="J14" s="42"/>
      <c r="K14" s="42"/>
      <c r="L14" s="42"/>
      <c r="M14" s="122"/>
      <c r="N14" s="122"/>
      <c r="O14" s="122"/>
      <c r="P14" s="122"/>
      <c r="Q14" s="122"/>
      <c r="R14" s="122"/>
      <c r="S14" s="123"/>
      <c r="T14" s="123"/>
      <c r="U14" s="123"/>
      <c r="V14" s="123"/>
      <c r="IW14" s="133" t="n">
        <v>1</v>
      </c>
    </row>
    <row r="15" customFormat="false" ht="22.5" hidden="true" customHeight="true" outlineLevel="0" collapsed="false">
      <c r="A15" s="42" t="s">
        <v>80</v>
      </c>
      <c r="B15" s="45" t="n">
        <v>0</v>
      </c>
      <c r="C15" s="42" t="n">
        <v>0</v>
      </c>
      <c r="D15" s="121" t="n">
        <v>3</v>
      </c>
      <c r="E15" s="42" t="n">
        <v>6</v>
      </c>
      <c r="F15" s="42" t="n">
        <v>27</v>
      </c>
      <c r="G15" s="42" t="n">
        <v>16</v>
      </c>
      <c r="H15" s="42" t="n">
        <v>12</v>
      </c>
      <c r="I15" s="42" t="n">
        <v>32</v>
      </c>
      <c r="J15" s="42" t="n">
        <v>41</v>
      </c>
      <c r="K15" s="42" t="n">
        <v>41</v>
      </c>
      <c r="L15" s="42" t="n">
        <v>89</v>
      </c>
      <c r="M15" s="122" t="n">
        <v>3</v>
      </c>
      <c r="N15" s="122" t="n">
        <v>8</v>
      </c>
      <c r="O15" s="122" t="n">
        <v>8</v>
      </c>
      <c r="P15" s="122" t="n">
        <v>8</v>
      </c>
      <c r="Q15" s="122" t="n">
        <v>25</v>
      </c>
      <c r="R15" s="122" t="n">
        <v>14</v>
      </c>
      <c r="S15" s="123" t="n">
        <v>8</v>
      </c>
      <c r="T15" s="123" t="n">
        <v>8</v>
      </c>
      <c r="U15" s="123" t="n">
        <v>8</v>
      </c>
      <c r="V15" s="123" t="n">
        <v>8</v>
      </c>
      <c r="W15" s="42" t="n">
        <v>8</v>
      </c>
      <c r="X15" s="42" t="n">
        <v>8</v>
      </c>
      <c r="Y15" s="42" t="n">
        <v>8</v>
      </c>
      <c r="Z15" s="42" t="n">
        <v>8</v>
      </c>
      <c r="AA15" s="42" t="n">
        <v>8</v>
      </c>
      <c r="AB15" s="42" t="n">
        <v>8</v>
      </c>
      <c r="AC15" s="42" t="n">
        <v>8</v>
      </c>
      <c r="AD15" s="42" t="n">
        <v>8</v>
      </c>
      <c r="AE15" s="42" t="n">
        <v>8</v>
      </c>
      <c r="AF15" s="42" t="n">
        <v>8</v>
      </c>
      <c r="AG15" s="42" t="n">
        <v>8</v>
      </c>
      <c r="AH15" s="42" t="n">
        <v>8</v>
      </c>
      <c r="AI15" s="42" t="n">
        <v>8</v>
      </c>
      <c r="AJ15" s="42" t="n">
        <v>8</v>
      </c>
      <c r="AK15" s="42" t="n">
        <v>8</v>
      </c>
      <c r="AL15" s="42" t="n">
        <v>8</v>
      </c>
      <c r="AM15" s="42" t="n">
        <v>8</v>
      </c>
      <c r="AN15" s="42" t="n">
        <v>8</v>
      </c>
      <c r="AO15" s="42" t="n">
        <v>8</v>
      </c>
      <c r="AP15" s="42" t="n">
        <v>8</v>
      </c>
      <c r="AQ15" s="42" t="n">
        <v>8</v>
      </c>
      <c r="AR15" s="42" t="n">
        <v>8</v>
      </c>
      <c r="AS15" s="42" t="n">
        <v>8</v>
      </c>
      <c r="AT15" s="42" t="n">
        <v>8</v>
      </c>
      <c r="AU15" s="42" t="n">
        <v>8</v>
      </c>
      <c r="AV15" s="42" t="n">
        <v>8</v>
      </c>
      <c r="AW15" s="42" t="n">
        <v>8</v>
      </c>
      <c r="AX15" s="42" t="n">
        <v>8</v>
      </c>
      <c r="AY15" s="42" t="n">
        <v>8</v>
      </c>
      <c r="AZ15" s="42" t="n">
        <v>8</v>
      </c>
      <c r="BA15" s="42" t="n">
        <v>8</v>
      </c>
      <c r="BB15" s="42" t="n">
        <v>8</v>
      </c>
      <c r="BC15" s="42" t="n">
        <v>8</v>
      </c>
      <c r="BD15" s="42" t="n">
        <v>8</v>
      </c>
      <c r="BE15" s="42" t="n">
        <v>8</v>
      </c>
      <c r="BF15" s="42" t="n">
        <v>8</v>
      </c>
      <c r="BG15" s="42" t="n">
        <v>8</v>
      </c>
      <c r="BH15" s="42" t="n">
        <v>8</v>
      </c>
      <c r="BI15" s="42" t="n">
        <v>8</v>
      </c>
      <c r="BJ15" s="42" t="n">
        <v>8</v>
      </c>
      <c r="BK15" s="42" t="n">
        <v>8</v>
      </c>
      <c r="BL15" s="42" t="n">
        <v>8</v>
      </c>
      <c r="BM15" s="42" t="n">
        <v>8</v>
      </c>
      <c r="BN15" s="42" t="n">
        <v>8</v>
      </c>
      <c r="BO15" s="42" t="n">
        <v>8</v>
      </c>
      <c r="BP15" s="42" t="n">
        <v>8</v>
      </c>
      <c r="BQ15" s="42" t="n">
        <v>8</v>
      </c>
      <c r="BR15" s="42" t="n">
        <v>8</v>
      </c>
      <c r="BS15" s="42" t="n">
        <v>8</v>
      </c>
      <c r="BT15" s="42" t="n">
        <v>8</v>
      </c>
      <c r="BU15" s="42" t="n">
        <v>8</v>
      </c>
      <c r="BV15" s="42" t="n">
        <v>8</v>
      </c>
      <c r="BW15" s="42" t="n">
        <v>8</v>
      </c>
      <c r="BX15" s="42" t="n">
        <v>8</v>
      </c>
      <c r="BY15" s="42" t="n">
        <v>8</v>
      </c>
      <c r="BZ15" s="42" t="n">
        <v>8</v>
      </c>
      <c r="CA15" s="42" t="n">
        <v>8</v>
      </c>
      <c r="CB15" s="42" t="n">
        <v>8</v>
      </c>
      <c r="CC15" s="42" t="n">
        <v>8</v>
      </c>
      <c r="CD15" s="42" t="n">
        <v>8</v>
      </c>
      <c r="CE15" s="42" t="n">
        <v>8</v>
      </c>
      <c r="CF15" s="42" t="n">
        <v>8</v>
      </c>
      <c r="CG15" s="42" t="n">
        <v>8</v>
      </c>
      <c r="CH15" s="42" t="n">
        <v>8</v>
      </c>
      <c r="CI15" s="42" t="n">
        <v>8</v>
      </c>
      <c r="CJ15" s="42" t="n">
        <v>8</v>
      </c>
      <c r="CK15" s="42" t="n">
        <v>8</v>
      </c>
      <c r="CL15" s="42" t="n">
        <v>8</v>
      </c>
      <c r="CM15" s="42" t="n">
        <v>8</v>
      </c>
      <c r="CN15" s="42" t="n">
        <v>8</v>
      </c>
      <c r="CO15" s="42" t="n">
        <v>8</v>
      </c>
      <c r="CP15" s="42" t="n">
        <v>8</v>
      </c>
      <c r="CQ15" s="42" t="n">
        <v>8</v>
      </c>
      <c r="CR15" s="42" t="n">
        <v>8</v>
      </c>
      <c r="CS15" s="42" t="n">
        <v>8</v>
      </c>
      <c r="CT15" s="42" t="n">
        <v>8</v>
      </c>
      <c r="CU15" s="42" t="n">
        <v>8</v>
      </c>
      <c r="CV15" s="42" t="n">
        <v>8</v>
      </c>
      <c r="CW15" s="42" t="n">
        <v>8</v>
      </c>
      <c r="CX15" s="42" t="n">
        <v>8</v>
      </c>
      <c r="CY15" s="42" t="n">
        <v>8</v>
      </c>
      <c r="CZ15" s="42" t="n">
        <v>8</v>
      </c>
      <c r="DA15" s="42" t="n">
        <v>8</v>
      </c>
      <c r="DB15" s="42" t="n">
        <v>8</v>
      </c>
      <c r="DC15" s="42" t="n">
        <v>8</v>
      </c>
      <c r="DD15" s="42" t="n">
        <v>8</v>
      </c>
      <c r="DE15" s="42" t="n">
        <v>8</v>
      </c>
      <c r="DF15" s="42" t="n">
        <v>8</v>
      </c>
      <c r="DG15" s="42" t="n">
        <v>8</v>
      </c>
      <c r="DH15" s="42" t="n">
        <v>8</v>
      </c>
      <c r="DI15" s="42" t="n">
        <v>8</v>
      </c>
      <c r="DJ15" s="42" t="n">
        <v>8</v>
      </c>
      <c r="DK15" s="42" t="n">
        <v>8</v>
      </c>
      <c r="DL15" s="42" t="n">
        <v>8</v>
      </c>
      <c r="DM15" s="42" t="n">
        <v>8</v>
      </c>
      <c r="DN15" s="42" t="n">
        <v>8</v>
      </c>
      <c r="DO15" s="42" t="n">
        <v>8</v>
      </c>
      <c r="DP15" s="42" t="n">
        <v>8</v>
      </c>
      <c r="DQ15" s="42" t="n">
        <v>8</v>
      </c>
      <c r="DR15" s="42" t="n">
        <v>8</v>
      </c>
      <c r="DS15" s="42" t="n">
        <v>8</v>
      </c>
      <c r="DT15" s="42" t="n">
        <v>8</v>
      </c>
      <c r="DU15" s="42" t="n">
        <v>8</v>
      </c>
      <c r="DV15" s="42" t="n">
        <v>8</v>
      </c>
      <c r="DW15" s="42" t="n">
        <v>8</v>
      </c>
      <c r="DX15" s="42" t="n">
        <v>8</v>
      </c>
      <c r="DY15" s="42" t="n">
        <v>8</v>
      </c>
      <c r="DZ15" s="42" t="n">
        <v>8</v>
      </c>
      <c r="EA15" s="42" t="n">
        <v>8</v>
      </c>
      <c r="EB15" s="42" t="n">
        <v>8</v>
      </c>
      <c r="EC15" s="42" t="n">
        <v>8</v>
      </c>
      <c r="ED15" s="42" t="n">
        <v>8</v>
      </c>
      <c r="EE15" s="42" t="n">
        <v>8</v>
      </c>
      <c r="EF15" s="42" t="n">
        <v>8</v>
      </c>
      <c r="EG15" s="42" t="n">
        <v>8</v>
      </c>
      <c r="EH15" s="42" t="n">
        <v>8</v>
      </c>
      <c r="EI15" s="42" t="n">
        <v>8</v>
      </c>
      <c r="EJ15" s="42" t="n">
        <v>8</v>
      </c>
      <c r="EK15" s="42" t="n">
        <v>8</v>
      </c>
      <c r="EL15" s="42" t="n">
        <v>8</v>
      </c>
      <c r="EM15" s="42" t="n">
        <v>8</v>
      </c>
      <c r="EN15" s="42" t="n">
        <v>8</v>
      </c>
      <c r="EO15" s="42" t="n">
        <v>8</v>
      </c>
      <c r="EP15" s="42" t="n">
        <v>8</v>
      </c>
      <c r="EQ15" s="42" t="n">
        <v>8</v>
      </c>
      <c r="ER15" s="42" t="n">
        <v>8</v>
      </c>
      <c r="ES15" s="42" t="n">
        <v>8</v>
      </c>
      <c r="ET15" s="42" t="n">
        <v>8</v>
      </c>
      <c r="EU15" s="42" t="n">
        <v>8</v>
      </c>
      <c r="EV15" s="42" t="n">
        <v>8</v>
      </c>
      <c r="EW15" s="42" t="n">
        <v>8</v>
      </c>
      <c r="EX15" s="42" t="n">
        <v>8</v>
      </c>
      <c r="EY15" s="42" t="n">
        <v>8</v>
      </c>
      <c r="EZ15" s="42" t="n">
        <v>8</v>
      </c>
      <c r="FA15" s="42" t="n">
        <v>8</v>
      </c>
      <c r="FB15" s="42" t="n">
        <v>8</v>
      </c>
      <c r="FC15" s="42" t="n">
        <v>8</v>
      </c>
      <c r="FD15" s="42" t="n">
        <v>8</v>
      </c>
      <c r="FE15" s="42" t="n">
        <v>8</v>
      </c>
      <c r="FF15" s="42" t="n">
        <v>8</v>
      </c>
      <c r="FG15" s="42" t="n">
        <v>8</v>
      </c>
      <c r="FH15" s="42" t="n">
        <v>8</v>
      </c>
      <c r="FI15" s="42" t="n">
        <v>8</v>
      </c>
      <c r="FJ15" s="42" t="n">
        <v>8</v>
      </c>
      <c r="FK15" s="42" t="n">
        <v>8</v>
      </c>
      <c r="FL15" s="42" t="n">
        <v>8</v>
      </c>
      <c r="FM15" s="42" t="n">
        <v>8</v>
      </c>
      <c r="FN15" s="42" t="n">
        <v>8</v>
      </c>
      <c r="FO15" s="42" t="n">
        <v>8</v>
      </c>
      <c r="FP15" s="42" t="n">
        <v>8</v>
      </c>
      <c r="FQ15" s="42" t="n">
        <v>8</v>
      </c>
      <c r="FR15" s="42" t="n">
        <v>8</v>
      </c>
      <c r="FS15" s="42" t="n">
        <v>8</v>
      </c>
      <c r="FT15" s="42" t="n">
        <v>8</v>
      </c>
      <c r="FU15" s="42" t="n">
        <v>8</v>
      </c>
      <c r="FV15" s="42" t="n">
        <v>8</v>
      </c>
      <c r="FW15" s="42" t="n">
        <v>8</v>
      </c>
      <c r="FX15" s="42" t="n">
        <v>8</v>
      </c>
      <c r="FY15" s="42" t="n">
        <v>8</v>
      </c>
      <c r="FZ15" s="42" t="n">
        <v>8</v>
      </c>
      <c r="GA15" s="42" t="n">
        <v>8</v>
      </c>
      <c r="GB15" s="42" t="n">
        <v>8</v>
      </c>
      <c r="GC15" s="42" t="n">
        <v>8</v>
      </c>
      <c r="GD15" s="42" t="n">
        <v>8</v>
      </c>
      <c r="GE15" s="42" t="n">
        <v>8</v>
      </c>
      <c r="GF15" s="42" t="n">
        <v>8</v>
      </c>
      <c r="GG15" s="42" t="n">
        <v>8</v>
      </c>
      <c r="GH15" s="42" t="n">
        <v>8</v>
      </c>
      <c r="GI15" s="42" t="n">
        <v>8</v>
      </c>
      <c r="GJ15" s="42" t="n">
        <v>8</v>
      </c>
      <c r="GK15" s="42" t="n">
        <v>8</v>
      </c>
      <c r="GL15" s="42" t="n">
        <v>8</v>
      </c>
      <c r="GM15" s="42" t="n">
        <v>8</v>
      </c>
      <c r="GN15" s="42" t="n">
        <v>8</v>
      </c>
      <c r="GO15" s="42" t="n">
        <v>8</v>
      </c>
      <c r="GP15" s="42" t="n">
        <v>8</v>
      </c>
      <c r="GQ15" s="42" t="n">
        <v>8</v>
      </c>
      <c r="GR15" s="42" t="n">
        <v>8</v>
      </c>
      <c r="GS15" s="42" t="n">
        <v>8</v>
      </c>
      <c r="GT15" s="42" t="n">
        <v>8</v>
      </c>
      <c r="GU15" s="42" t="n">
        <v>8</v>
      </c>
      <c r="GV15" s="42" t="n">
        <v>8</v>
      </c>
      <c r="GW15" s="42" t="n">
        <v>8</v>
      </c>
      <c r="GX15" s="42" t="n">
        <v>8</v>
      </c>
      <c r="GY15" s="42" t="n">
        <v>8</v>
      </c>
      <c r="GZ15" s="42" t="n">
        <v>8</v>
      </c>
      <c r="HA15" s="42" t="n">
        <v>8</v>
      </c>
      <c r="HB15" s="42" t="n">
        <v>8</v>
      </c>
      <c r="HC15" s="42" t="n">
        <v>8</v>
      </c>
      <c r="HD15" s="42" t="n">
        <v>8</v>
      </c>
      <c r="HE15" s="42" t="n">
        <v>8</v>
      </c>
      <c r="HF15" s="42" t="n">
        <v>8</v>
      </c>
      <c r="HG15" s="42" t="n">
        <v>8</v>
      </c>
      <c r="HH15" s="42" t="n">
        <v>8</v>
      </c>
      <c r="HI15" s="42" t="n">
        <v>8</v>
      </c>
      <c r="HJ15" s="42" t="n">
        <v>8</v>
      </c>
      <c r="HK15" s="42" t="n">
        <v>8</v>
      </c>
      <c r="HL15" s="42" t="n">
        <v>8</v>
      </c>
      <c r="HM15" s="42" t="n">
        <v>8</v>
      </c>
      <c r="HN15" s="42" t="n">
        <v>8</v>
      </c>
      <c r="HO15" s="42" t="n">
        <v>8</v>
      </c>
      <c r="HP15" s="42" t="n">
        <v>8</v>
      </c>
      <c r="HQ15" s="42" t="n">
        <v>8</v>
      </c>
      <c r="HR15" s="42" t="n">
        <v>8</v>
      </c>
      <c r="HS15" s="42" t="n">
        <v>8</v>
      </c>
      <c r="HT15" s="42" t="n">
        <v>8</v>
      </c>
      <c r="HU15" s="42" t="n">
        <v>8</v>
      </c>
      <c r="HV15" s="42" t="n">
        <v>8</v>
      </c>
      <c r="HW15" s="42" t="n">
        <v>8</v>
      </c>
      <c r="HX15" s="42" t="n">
        <v>8</v>
      </c>
      <c r="HY15" s="42" t="n">
        <v>8</v>
      </c>
      <c r="HZ15" s="42" t="n">
        <v>8</v>
      </c>
      <c r="IA15" s="42" t="n">
        <v>8</v>
      </c>
      <c r="IB15" s="42" t="n">
        <v>8</v>
      </c>
      <c r="IC15" s="42" t="n">
        <v>8</v>
      </c>
      <c r="ID15" s="42" t="n">
        <v>8</v>
      </c>
      <c r="IE15" s="42" t="n">
        <v>8</v>
      </c>
      <c r="IF15" s="42" t="n">
        <v>8</v>
      </c>
      <c r="IG15" s="42" t="n">
        <v>8</v>
      </c>
      <c r="IH15" s="42" t="n">
        <v>8</v>
      </c>
      <c r="II15" s="42" t="n">
        <v>8</v>
      </c>
      <c r="IJ15" s="42" t="n">
        <v>8</v>
      </c>
      <c r="IK15" s="42" t="n">
        <v>8</v>
      </c>
      <c r="IL15" s="42" t="n">
        <v>8</v>
      </c>
      <c r="IM15" s="42" t="n">
        <v>8</v>
      </c>
      <c r="IN15" s="42" t="n">
        <v>8</v>
      </c>
      <c r="IO15" s="42" t="n">
        <v>8</v>
      </c>
      <c r="IP15" s="42" t="n">
        <v>8</v>
      </c>
      <c r="IQ15" s="42" t="n">
        <v>8</v>
      </c>
      <c r="IR15" s="42" t="n">
        <v>8</v>
      </c>
      <c r="IS15" s="42" t="n">
        <v>8</v>
      </c>
      <c r="IT15" s="42" t="n">
        <v>8</v>
      </c>
      <c r="IU15" s="42" t="n">
        <v>8</v>
      </c>
      <c r="IV15" s="42" t="n">
        <v>8</v>
      </c>
      <c r="IW15" s="42"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G10"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J10:K10" type="textLength">
      <formula1>900</formula1>
      <formula2>0</formula2>
    </dataValidation>
    <dataValidation allowBlank="true" errorStyle="stop" operator="between" prompt="Укажите время в формате ЧЧ:ММ" showDropDown="false" showErrorMessage="true" showInputMessage="true" sqref="H2 H10" type="time">
      <formula1>0</formula1>
      <formula2>0.999305555555556</formula2>
    </dataValidation>
    <dataValidation allowBlank="true" errorStyle="stop" operator="lessThanOrEqual" showDropDown="false" showErrorMessage="true" showInputMessage="true" sqref="I2 I10" type="textLength">
      <formula1>990</formula1>
      <formula2>0</formula2>
    </dataValidation>
    <dataValidation allowBlank="true" errorStyle="stop" operator="between" showDropDown="false" showErrorMessage="true" showInputMessage="true" sqref="H3:I3" type="textLength">
      <formula1>13</formula1>
      <formula2>15</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21" width="3"/>
    <col collapsed="false" customWidth="true" hidden="false" outlineLevel="0" max="5" min="5" style="42" width="6"/>
    <col collapsed="false" customWidth="true" hidden="false" outlineLevel="0" max="6" min="6" style="42" width="27"/>
    <col collapsed="false" customWidth="true" hidden="false" outlineLevel="0" max="7" min="7" style="42" width="16"/>
    <col collapsed="false" customWidth="true" hidden="false" outlineLevel="0" max="8" min="8" style="42" width="12"/>
    <col collapsed="false" customWidth="true" hidden="false" outlineLevel="0" max="9" min="9" style="42" width="32"/>
    <col collapsed="false" customWidth="true" hidden="false" outlineLevel="0" max="11" min="10" style="42" width="41"/>
    <col collapsed="false" customWidth="true" hidden="false" outlineLevel="0" max="12" min="12" style="42" width="89"/>
    <col collapsed="false" customWidth="true" hidden="false" outlineLevel="0" max="13" min="13" style="122" width="3"/>
    <col collapsed="false" customWidth="true" hidden="false" outlineLevel="0" max="16" min="14" style="122" width="8"/>
    <col collapsed="false" customWidth="true" hidden="false" outlineLevel="0" max="17" min="17" style="122" width="25"/>
    <col collapsed="false" customWidth="true" hidden="false" outlineLevel="0" max="18" min="18" style="122" width="14"/>
    <col collapsed="false" customWidth="true" hidden="false" outlineLevel="0" max="22" min="19" style="123" width="8"/>
    <col collapsed="false" customWidth="true" hidden="false" outlineLevel="0" max="256" min="23" style="42" width="8"/>
    <col collapsed="false" customWidth="false" hidden="true" outlineLevel="0" max="257" min="257" style="42" width="9.15"/>
  </cols>
  <sheetData>
    <row r="1" customFormat="false" ht="22.5" hidden="true" customHeight="true" outlineLevel="0" collapsed="false">
      <c r="IW1" s="42" t="s">
        <v>14</v>
      </c>
    </row>
    <row r="2" s="55" customFormat="true" ht="22.5" hidden="true" customHeight="true" outlineLevel="0" collapsed="false">
      <c r="A2" s="114"/>
      <c r="B2" s="45" t="n">
        <v>1</v>
      </c>
      <c r="C2" s="45"/>
      <c r="D2" s="842" t="s">
        <v>686</v>
      </c>
      <c r="E2" s="150"/>
      <c r="F2" s="475" t="str">
        <f aca="false">IF(ROIV_INFO_NAME="","",ROIV_INFO_NAME)</f>
        <v>Филиал ПАО "ОГК-2" - Серовская ГРЭС, г. Серов</v>
      </c>
      <c r="G2" s="81"/>
      <c r="H2" s="982"/>
      <c r="I2" s="976"/>
      <c r="J2" s="662"/>
      <c r="K2" s="662"/>
      <c r="L2" s="128"/>
      <c r="M2" s="972" t="e">
        <f aca="false">mergevalue(F2)</f>
        <v>#NAME?</v>
      </c>
      <c r="N2" s="49"/>
      <c r="O2" s="49"/>
      <c r="P2" s="122" t="str">
        <f aca="false" t="array" ref="P2:P2">IF(ISERROR(MATCH(MID(Q2,1,250),MID(note_ter,1,250),0)),"n","y")</f>
        <v>n</v>
      </c>
      <c r="Q2" s="49"/>
      <c r="R2" s="122" t="str">
        <f aca="false">G2&amp;"("&amp;L2&amp;")"</f>
        <v>()</v>
      </c>
      <c r="S2" s="45"/>
      <c r="T2" s="45"/>
      <c r="U2" s="159"/>
      <c r="V2" s="45"/>
      <c r="W2" s="45"/>
      <c r="X2" s="45"/>
      <c r="Y2" s="56"/>
      <c r="Z2" s="56"/>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60"/>
      <c r="BK2" s="160"/>
      <c r="BL2" s="160"/>
      <c r="BM2" s="160"/>
      <c r="BN2" s="160"/>
      <c r="BO2" s="160"/>
      <c r="BP2" s="160"/>
      <c r="BQ2" s="160"/>
      <c r="BR2" s="160"/>
      <c r="BS2" s="160"/>
      <c r="BT2" s="160"/>
      <c r="BU2" s="160"/>
      <c r="BV2" s="56"/>
      <c r="BW2" s="56"/>
      <c r="BX2" s="56"/>
      <c r="BY2" s="56"/>
      <c r="BZ2" s="56"/>
      <c r="CA2" s="56"/>
      <c r="CB2" s="56"/>
      <c r="CC2" s="56"/>
      <c r="CD2" s="56"/>
      <c r="CE2" s="56"/>
      <c r="IW2" s="55" t="n">
        <v>0</v>
      </c>
    </row>
    <row r="3" s="49" customFormat="true" ht="5.25" hidden="true" customHeight="true" outlineLevel="0" collapsed="false">
      <c r="A3" s="124"/>
      <c r="D3" s="125"/>
      <c r="F3" s="126" t="s">
        <v>81</v>
      </c>
      <c r="G3" s="983" t="s">
        <v>82</v>
      </c>
      <c r="H3" s="125"/>
      <c r="I3" s="125"/>
      <c r="J3" s="125"/>
      <c r="K3" s="125"/>
      <c r="L3" s="127" t="s">
        <v>83</v>
      </c>
      <c r="M3" s="126" t="s">
        <v>81</v>
      </c>
      <c r="N3" s="126"/>
      <c r="O3" s="126"/>
      <c r="P3" s="126"/>
      <c r="Q3" s="126"/>
      <c r="R3" s="126"/>
      <c r="S3" s="126"/>
      <c r="T3" s="126"/>
      <c r="U3" s="126"/>
      <c r="V3" s="126"/>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49" t="n">
        <v>0</v>
      </c>
    </row>
    <row r="4" s="133" customFormat="true" ht="14.25" hidden="false" customHeight="true" outlineLevel="0" collapsed="false">
      <c r="A4" s="42"/>
      <c r="B4" s="45"/>
      <c r="C4" s="42"/>
      <c r="D4" s="121"/>
      <c r="E4" s="42"/>
      <c r="F4" s="42"/>
      <c r="G4" s="42"/>
      <c r="H4" s="42"/>
      <c r="I4" s="42"/>
      <c r="J4" s="42"/>
      <c r="K4" s="42"/>
      <c r="L4" s="132"/>
      <c r="M4" s="126"/>
      <c r="N4" s="122"/>
      <c r="O4" s="122"/>
      <c r="P4" s="122"/>
      <c r="Q4" s="122"/>
      <c r="R4" s="122"/>
      <c r="S4" s="123"/>
      <c r="T4" s="123"/>
      <c r="U4" s="123"/>
      <c r="V4" s="123"/>
      <c r="IW4" s="133" t="n">
        <v>14</v>
      </c>
    </row>
    <row r="5" s="133" customFormat="true" ht="27" hidden="false" customHeight="true" outlineLevel="0" collapsed="false">
      <c r="A5" s="42"/>
      <c r="B5" s="45"/>
      <c r="C5" s="42"/>
      <c r="D5" s="121"/>
      <c r="E5" s="134" t="str">
        <f aca="false">"Форма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34"/>
      <c r="G5" s="134"/>
      <c r="H5" s="134"/>
      <c r="I5" s="134"/>
      <c r="J5" s="134"/>
      <c r="K5" s="134"/>
      <c r="L5" s="42"/>
      <c r="M5" s="126"/>
      <c r="N5" s="122"/>
      <c r="O5" s="122"/>
      <c r="P5" s="122"/>
      <c r="Q5" s="122"/>
      <c r="R5" s="122"/>
      <c r="S5" s="123"/>
      <c r="T5" s="123"/>
      <c r="U5" s="123"/>
      <c r="V5" s="123"/>
      <c r="IW5" s="133" t="n">
        <v>26</v>
      </c>
    </row>
    <row r="6" s="133" customFormat="true" ht="14.25" hidden="false" customHeight="true" outlineLevel="0" collapsed="false">
      <c r="A6" s="42"/>
      <c r="B6" s="45"/>
      <c r="C6" s="42"/>
      <c r="D6" s="121"/>
      <c r="E6" s="42"/>
      <c r="F6" s="135"/>
      <c r="G6" s="135"/>
      <c r="H6" s="135"/>
      <c r="I6" s="135"/>
      <c r="J6" s="135"/>
      <c r="K6" s="135"/>
      <c r="L6" s="114"/>
      <c r="M6" s="122"/>
      <c r="N6" s="122"/>
      <c r="O6" s="122"/>
      <c r="P6" s="122"/>
      <c r="Q6" s="122"/>
      <c r="R6" s="122"/>
      <c r="S6" s="123"/>
      <c r="T6" s="123"/>
      <c r="U6" s="123"/>
      <c r="V6" s="123"/>
      <c r="IW6" s="133" t="n">
        <v>14</v>
      </c>
    </row>
    <row r="7" s="133" customFormat="true" ht="14.25" hidden="false" customHeight="true" outlineLevel="0" collapsed="false">
      <c r="A7" s="42"/>
      <c r="B7" s="45"/>
      <c r="C7" s="42"/>
      <c r="D7" s="121"/>
      <c r="E7" s="263" t="s">
        <v>297</v>
      </c>
      <c r="F7" s="263"/>
      <c r="G7" s="263"/>
      <c r="H7" s="263"/>
      <c r="I7" s="263"/>
      <c r="J7" s="263"/>
      <c r="K7" s="263"/>
      <c r="L7" s="139" t="s">
        <v>298</v>
      </c>
      <c r="M7" s="122"/>
      <c r="N7" s="122"/>
      <c r="O7" s="122"/>
      <c r="P7" s="122"/>
      <c r="Q7" s="122"/>
      <c r="R7" s="122"/>
      <c r="S7" s="123"/>
      <c r="T7" s="123"/>
      <c r="U7" s="123"/>
      <c r="V7" s="123"/>
      <c r="IW7" s="133" t="n">
        <v>14</v>
      </c>
    </row>
    <row r="8" s="133" customFormat="true" ht="66.75" hidden="false" customHeight="true" outlineLevel="0" collapsed="false">
      <c r="A8" s="42"/>
      <c r="B8" s="45"/>
      <c r="C8" s="42"/>
      <c r="D8" s="121"/>
      <c r="E8" s="141" t="s">
        <v>86</v>
      </c>
      <c r="F8" s="141" t="s">
        <v>1874</v>
      </c>
      <c r="G8" s="141" t="s">
        <v>1875</v>
      </c>
      <c r="H8" s="141"/>
      <c r="I8" s="141"/>
      <c r="J8" s="141" t="s">
        <v>1876</v>
      </c>
      <c r="K8" s="141"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9"/>
      <c r="M8" s="122"/>
      <c r="N8" s="122"/>
      <c r="O8" s="122"/>
      <c r="P8" s="122"/>
      <c r="Q8" s="122"/>
      <c r="R8" s="122"/>
      <c r="S8" s="123"/>
      <c r="T8" s="123"/>
      <c r="U8" s="123"/>
      <c r="V8" s="123"/>
      <c r="IW8" s="133" t="n">
        <v>64</v>
      </c>
    </row>
    <row r="9" s="133" customFormat="true" ht="29.25" hidden="false" customHeight="true" outlineLevel="0" collapsed="false">
      <c r="A9" s="42"/>
      <c r="B9" s="45"/>
      <c r="C9" s="42"/>
      <c r="D9" s="121"/>
      <c r="E9" s="141"/>
      <c r="F9" s="141"/>
      <c r="G9" s="984" t="s">
        <v>1870</v>
      </c>
      <c r="H9" s="984" t="s">
        <v>1871</v>
      </c>
      <c r="I9" s="984" t="s">
        <v>1872</v>
      </c>
      <c r="J9" s="141"/>
      <c r="K9" s="141"/>
      <c r="L9" s="139"/>
      <c r="M9" s="122"/>
      <c r="N9" s="122"/>
      <c r="O9" s="122"/>
      <c r="P9" s="122"/>
      <c r="Q9" s="122"/>
      <c r="R9" s="122"/>
      <c r="S9" s="123"/>
      <c r="T9" s="123"/>
      <c r="U9" s="123"/>
      <c r="V9" s="123"/>
      <c r="IW9" s="133" t="n">
        <v>28</v>
      </c>
    </row>
    <row r="10" s="55" customFormat="true" ht="0.75" hidden="false" customHeight="true" outlineLevel="0" collapsed="false">
      <c r="A10" s="43"/>
      <c r="B10" s="45" t="n">
        <v>1</v>
      </c>
      <c r="C10" s="45"/>
      <c r="D10" s="154"/>
      <c r="E10" s="156" t="n">
        <v>0</v>
      </c>
      <c r="F10" s="988" t="str">
        <f aca="false">IF(ROIV_INFO_NAME="","",ROIV_INFO_NAME)</f>
        <v>Филиал ПАО "ОГК-2" - Серовская ГРЭС, г. Серов</v>
      </c>
      <c r="G10" s="89"/>
      <c r="H10" s="989"/>
      <c r="I10" s="989"/>
      <c r="J10" s="751"/>
      <c r="K10" s="751"/>
      <c r="L10" s="987"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972" t="e">
        <f aca="false">mergevalue(F10)</f>
        <v>#NAME?</v>
      </c>
      <c r="N10" s="49"/>
      <c r="O10" s="49"/>
      <c r="P10" s="122" t="str">
        <f aca="false" t="array" ref="P10:P10">IF(ISERROR(MATCH(MID(Q10,1,250),MID(note_ter,1,250),0)),"n","y")</f>
        <v>n</v>
      </c>
      <c r="Q10" s="49"/>
      <c r="R10" s="122" t="str">
        <f aca="false">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5"/>
      <c r="T10" s="45"/>
      <c r="U10" s="159"/>
      <c r="V10" s="45"/>
      <c r="W10" s="45"/>
      <c r="X10" s="45"/>
      <c r="Y10" s="56"/>
      <c r="Z10" s="56"/>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56"/>
      <c r="BW10" s="56"/>
      <c r="BX10" s="56"/>
      <c r="BY10" s="56"/>
      <c r="BZ10" s="56"/>
      <c r="CA10" s="56"/>
      <c r="CB10" s="56"/>
      <c r="CC10" s="56"/>
      <c r="CD10" s="56"/>
      <c r="CE10" s="56"/>
      <c r="IW10" s="55" t="n">
        <v>1</v>
      </c>
    </row>
    <row r="11" s="55" customFormat="true" ht="15.75" hidden="false" customHeight="true" outlineLevel="0" collapsed="false">
      <c r="A11" s="43"/>
      <c r="B11" s="45"/>
      <c r="C11" s="161"/>
      <c r="D11" s="162"/>
      <c r="E11" s="163"/>
      <c r="F11" s="170" t="s">
        <v>1873</v>
      </c>
      <c r="G11" s="166"/>
      <c r="H11" s="166"/>
      <c r="I11" s="166"/>
      <c r="J11" s="166"/>
      <c r="K11" s="167"/>
      <c r="L11" s="987"/>
      <c r="M11" s="980"/>
      <c r="N11" s="49"/>
      <c r="O11" s="49"/>
      <c r="P11" s="49"/>
      <c r="Q11" s="122"/>
      <c r="R11" s="49"/>
      <c r="S11" s="45"/>
      <c r="T11" s="45"/>
      <c r="U11" s="159"/>
      <c r="V11" s="45"/>
      <c r="W11" s="45"/>
      <c r="X11" s="45"/>
      <c r="Y11" s="56"/>
      <c r="Z11" s="56"/>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56"/>
      <c r="BW11" s="56"/>
      <c r="BX11" s="56"/>
      <c r="BY11" s="56"/>
      <c r="BZ11" s="56"/>
      <c r="CA11" s="56"/>
      <c r="CB11" s="56"/>
      <c r="CC11" s="56"/>
      <c r="CD11" s="56"/>
      <c r="CE11" s="56"/>
      <c r="IW11" s="55" t="n">
        <v>15</v>
      </c>
    </row>
    <row r="12" s="133" customFormat="true" ht="21.75" hidden="false" customHeight="true" outlineLevel="0" collapsed="false">
      <c r="A12" s="42"/>
      <c r="B12" s="45"/>
      <c r="C12" s="42"/>
      <c r="D12" s="121"/>
      <c r="E12" s="172"/>
      <c r="F12" s="172"/>
      <c r="G12" s="172"/>
      <c r="H12" s="172"/>
      <c r="I12" s="172"/>
      <c r="J12" s="172"/>
      <c r="K12" s="172"/>
      <c r="L12" s="172"/>
      <c r="M12" s="122"/>
      <c r="N12" s="122"/>
      <c r="O12" s="122"/>
      <c r="P12" s="122"/>
      <c r="Q12" s="122"/>
      <c r="R12" s="122"/>
      <c r="S12" s="123"/>
      <c r="T12" s="123"/>
      <c r="U12" s="123"/>
      <c r="V12" s="123"/>
      <c r="IW12" s="133" t="n">
        <v>21</v>
      </c>
    </row>
    <row r="13" s="133" customFormat="true" ht="14.25" hidden="false" customHeight="true" outlineLevel="0" collapsed="false">
      <c r="A13" s="42"/>
      <c r="B13" s="45"/>
      <c r="C13" s="42"/>
      <c r="D13" s="121"/>
      <c r="E13" s="42"/>
      <c r="F13" s="42"/>
      <c r="G13" s="42"/>
      <c r="H13" s="42"/>
      <c r="I13" s="42"/>
      <c r="J13" s="42"/>
      <c r="K13" s="42"/>
      <c r="L13" s="42"/>
      <c r="M13" s="122"/>
      <c r="N13" s="122"/>
      <c r="O13" s="122"/>
      <c r="P13" s="122"/>
      <c r="Q13" s="122"/>
      <c r="R13" s="122"/>
      <c r="S13" s="123"/>
      <c r="T13" s="123"/>
      <c r="U13" s="123"/>
      <c r="V13" s="123"/>
      <c r="IW13" s="133" t="n">
        <v>14</v>
      </c>
    </row>
    <row r="14" s="133" customFormat="true" ht="0.75" hidden="false" customHeight="true" outlineLevel="0" collapsed="false">
      <c r="A14" s="42"/>
      <c r="B14" s="45"/>
      <c r="C14" s="42"/>
      <c r="D14" s="121"/>
      <c r="E14" s="42"/>
      <c r="F14" s="42"/>
      <c r="G14" s="42"/>
      <c r="H14" s="42"/>
      <c r="I14" s="42"/>
      <c r="J14" s="42"/>
      <c r="K14" s="42"/>
      <c r="L14" s="42"/>
      <c r="M14" s="122"/>
      <c r="N14" s="122"/>
      <c r="O14" s="122"/>
      <c r="P14" s="122"/>
      <c r="Q14" s="122"/>
      <c r="R14" s="122"/>
      <c r="S14" s="123"/>
      <c r="T14" s="123"/>
      <c r="U14" s="123"/>
      <c r="V14" s="123"/>
      <c r="IW14" s="133" t="n">
        <v>1</v>
      </c>
    </row>
    <row r="15" customFormat="false" ht="22.5" hidden="true" customHeight="true" outlineLevel="0" collapsed="false">
      <c r="A15" s="42" t="s">
        <v>80</v>
      </c>
      <c r="B15" s="45" t="n">
        <v>0</v>
      </c>
      <c r="C15" s="42" t="n">
        <v>0</v>
      </c>
      <c r="D15" s="121" t="n">
        <v>3</v>
      </c>
      <c r="E15" s="42" t="n">
        <v>6</v>
      </c>
      <c r="F15" s="42" t="n">
        <v>27</v>
      </c>
      <c r="G15" s="42" t="n">
        <v>16</v>
      </c>
      <c r="H15" s="42" t="n">
        <v>12</v>
      </c>
      <c r="I15" s="42" t="n">
        <v>32</v>
      </c>
      <c r="J15" s="42" t="n">
        <v>41</v>
      </c>
      <c r="K15" s="42" t="n">
        <v>41</v>
      </c>
      <c r="L15" s="42" t="n">
        <v>89</v>
      </c>
      <c r="M15" s="122" t="n">
        <v>3</v>
      </c>
      <c r="N15" s="122" t="n">
        <v>8</v>
      </c>
      <c r="O15" s="122" t="n">
        <v>8</v>
      </c>
      <c r="P15" s="122" t="n">
        <v>8</v>
      </c>
      <c r="Q15" s="122" t="n">
        <v>25</v>
      </c>
      <c r="R15" s="122" t="n">
        <v>14</v>
      </c>
      <c r="S15" s="123" t="n">
        <v>8</v>
      </c>
      <c r="T15" s="123" t="n">
        <v>8</v>
      </c>
      <c r="U15" s="123" t="n">
        <v>8</v>
      </c>
      <c r="V15" s="123" t="n">
        <v>8</v>
      </c>
      <c r="W15" s="42" t="n">
        <v>8</v>
      </c>
      <c r="X15" s="42" t="n">
        <v>8</v>
      </c>
      <c r="Y15" s="42" t="n">
        <v>8</v>
      </c>
      <c r="Z15" s="42" t="n">
        <v>8</v>
      </c>
      <c r="AA15" s="42" t="n">
        <v>8</v>
      </c>
      <c r="AB15" s="42" t="n">
        <v>8</v>
      </c>
      <c r="AC15" s="42" t="n">
        <v>8</v>
      </c>
      <c r="AD15" s="42" t="n">
        <v>8</v>
      </c>
      <c r="AE15" s="42" t="n">
        <v>8</v>
      </c>
      <c r="AF15" s="42" t="n">
        <v>8</v>
      </c>
      <c r="AG15" s="42" t="n">
        <v>8</v>
      </c>
      <c r="AH15" s="42" t="n">
        <v>8</v>
      </c>
      <c r="AI15" s="42" t="n">
        <v>8</v>
      </c>
      <c r="AJ15" s="42" t="n">
        <v>8</v>
      </c>
      <c r="AK15" s="42" t="n">
        <v>8</v>
      </c>
      <c r="AL15" s="42" t="n">
        <v>8</v>
      </c>
      <c r="AM15" s="42" t="n">
        <v>8</v>
      </c>
      <c r="AN15" s="42" t="n">
        <v>8</v>
      </c>
      <c r="AO15" s="42" t="n">
        <v>8</v>
      </c>
      <c r="AP15" s="42" t="n">
        <v>8</v>
      </c>
      <c r="AQ15" s="42" t="n">
        <v>8</v>
      </c>
      <c r="AR15" s="42" t="n">
        <v>8</v>
      </c>
      <c r="AS15" s="42" t="n">
        <v>8</v>
      </c>
      <c r="AT15" s="42" t="n">
        <v>8</v>
      </c>
      <c r="AU15" s="42" t="n">
        <v>8</v>
      </c>
      <c r="AV15" s="42" t="n">
        <v>8</v>
      </c>
      <c r="AW15" s="42" t="n">
        <v>8</v>
      </c>
      <c r="AX15" s="42" t="n">
        <v>8</v>
      </c>
      <c r="AY15" s="42" t="n">
        <v>8</v>
      </c>
      <c r="AZ15" s="42" t="n">
        <v>8</v>
      </c>
      <c r="BA15" s="42" t="n">
        <v>8</v>
      </c>
      <c r="BB15" s="42" t="n">
        <v>8</v>
      </c>
      <c r="BC15" s="42" t="n">
        <v>8</v>
      </c>
      <c r="BD15" s="42" t="n">
        <v>8</v>
      </c>
      <c r="BE15" s="42" t="n">
        <v>8</v>
      </c>
      <c r="BF15" s="42" t="n">
        <v>8</v>
      </c>
      <c r="BG15" s="42" t="n">
        <v>8</v>
      </c>
      <c r="BH15" s="42" t="n">
        <v>8</v>
      </c>
      <c r="BI15" s="42" t="n">
        <v>8</v>
      </c>
      <c r="BJ15" s="42" t="n">
        <v>8</v>
      </c>
      <c r="BK15" s="42" t="n">
        <v>8</v>
      </c>
      <c r="BL15" s="42" t="n">
        <v>8</v>
      </c>
      <c r="BM15" s="42" t="n">
        <v>8</v>
      </c>
      <c r="BN15" s="42" t="n">
        <v>8</v>
      </c>
      <c r="BO15" s="42" t="n">
        <v>8</v>
      </c>
      <c r="BP15" s="42" t="n">
        <v>8</v>
      </c>
      <c r="BQ15" s="42" t="n">
        <v>8</v>
      </c>
      <c r="BR15" s="42" t="n">
        <v>8</v>
      </c>
      <c r="BS15" s="42" t="n">
        <v>8</v>
      </c>
      <c r="BT15" s="42" t="n">
        <v>8</v>
      </c>
      <c r="BU15" s="42" t="n">
        <v>8</v>
      </c>
      <c r="BV15" s="42" t="n">
        <v>8</v>
      </c>
      <c r="BW15" s="42" t="n">
        <v>8</v>
      </c>
      <c r="BX15" s="42" t="n">
        <v>8</v>
      </c>
      <c r="BY15" s="42" t="n">
        <v>8</v>
      </c>
      <c r="BZ15" s="42" t="n">
        <v>8</v>
      </c>
      <c r="CA15" s="42" t="n">
        <v>8</v>
      </c>
      <c r="CB15" s="42" t="n">
        <v>8</v>
      </c>
      <c r="CC15" s="42" t="n">
        <v>8</v>
      </c>
      <c r="CD15" s="42" t="n">
        <v>8</v>
      </c>
      <c r="CE15" s="42" t="n">
        <v>8</v>
      </c>
      <c r="CF15" s="42" t="n">
        <v>8</v>
      </c>
      <c r="CG15" s="42" t="n">
        <v>8</v>
      </c>
      <c r="CH15" s="42" t="n">
        <v>8</v>
      </c>
      <c r="CI15" s="42" t="n">
        <v>8</v>
      </c>
      <c r="CJ15" s="42" t="n">
        <v>8</v>
      </c>
      <c r="CK15" s="42" t="n">
        <v>8</v>
      </c>
      <c r="CL15" s="42" t="n">
        <v>8</v>
      </c>
      <c r="CM15" s="42" t="n">
        <v>8</v>
      </c>
      <c r="CN15" s="42" t="n">
        <v>8</v>
      </c>
      <c r="CO15" s="42" t="n">
        <v>8</v>
      </c>
      <c r="CP15" s="42" t="n">
        <v>8</v>
      </c>
      <c r="CQ15" s="42" t="n">
        <v>8</v>
      </c>
      <c r="CR15" s="42" t="n">
        <v>8</v>
      </c>
      <c r="CS15" s="42" t="n">
        <v>8</v>
      </c>
      <c r="CT15" s="42" t="n">
        <v>8</v>
      </c>
      <c r="CU15" s="42" t="n">
        <v>8</v>
      </c>
      <c r="CV15" s="42" t="n">
        <v>8</v>
      </c>
      <c r="CW15" s="42" t="n">
        <v>8</v>
      </c>
      <c r="CX15" s="42" t="n">
        <v>8</v>
      </c>
      <c r="CY15" s="42" t="n">
        <v>8</v>
      </c>
      <c r="CZ15" s="42" t="n">
        <v>8</v>
      </c>
      <c r="DA15" s="42" t="n">
        <v>8</v>
      </c>
      <c r="DB15" s="42" t="n">
        <v>8</v>
      </c>
      <c r="DC15" s="42" t="n">
        <v>8</v>
      </c>
      <c r="DD15" s="42" t="n">
        <v>8</v>
      </c>
      <c r="DE15" s="42" t="n">
        <v>8</v>
      </c>
      <c r="DF15" s="42" t="n">
        <v>8</v>
      </c>
      <c r="DG15" s="42" t="n">
        <v>8</v>
      </c>
      <c r="DH15" s="42" t="n">
        <v>8</v>
      </c>
      <c r="DI15" s="42" t="n">
        <v>8</v>
      </c>
      <c r="DJ15" s="42" t="n">
        <v>8</v>
      </c>
      <c r="DK15" s="42" t="n">
        <v>8</v>
      </c>
      <c r="DL15" s="42" t="n">
        <v>8</v>
      </c>
      <c r="DM15" s="42" t="n">
        <v>8</v>
      </c>
      <c r="DN15" s="42" t="n">
        <v>8</v>
      </c>
      <c r="DO15" s="42" t="n">
        <v>8</v>
      </c>
      <c r="DP15" s="42" t="n">
        <v>8</v>
      </c>
      <c r="DQ15" s="42" t="n">
        <v>8</v>
      </c>
      <c r="DR15" s="42" t="n">
        <v>8</v>
      </c>
      <c r="DS15" s="42" t="n">
        <v>8</v>
      </c>
      <c r="DT15" s="42" t="n">
        <v>8</v>
      </c>
      <c r="DU15" s="42" t="n">
        <v>8</v>
      </c>
      <c r="DV15" s="42" t="n">
        <v>8</v>
      </c>
      <c r="DW15" s="42" t="n">
        <v>8</v>
      </c>
      <c r="DX15" s="42" t="n">
        <v>8</v>
      </c>
      <c r="DY15" s="42" t="n">
        <v>8</v>
      </c>
      <c r="DZ15" s="42" t="n">
        <v>8</v>
      </c>
      <c r="EA15" s="42" t="n">
        <v>8</v>
      </c>
      <c r="EB15" s="42" t="n">
        <v>8</v>
      </c>
      <c r="EC15" s="42" t="n">
        <v>8</v>
      </c>
      <c r="ED15" s="42" t="n">
        <v>8</v>
      </c>
      <c r="EE15" s="42" t="n">
        <v>8</v>
      </c>
      <c r="EF15" s="42" t="n">
        <v>8</v>
      </c>
      <c r="EG15" s="42" t="n">
        <v>8</v>
      </c>
      <c r="EH15" s="42" t="n">
        <v>8</v>
      </c>
      <c r="EI15" s="42" t="n">
        <v>8</v>
      </c>
      <c r="EJ15" s="42" t="n">
        <v>8</v>
      </c>
      <c r="EK15" s="42" t="n">
        <v>8</v>
      </c>
      <c r="EL15" s="42" t="n">
        <v>8</v>
      </c>
      <c r="EM15" s="42" t="n">
        <v>8</v>
      </c>
      <c r="EN15" s="42" t="n">
        <v>8</v>
      </c>
      <c r="EO15" s="42" t="n">
        <v>8</v>
      </c>
      <c r="EP15" s="42" t="n">
        <v>8</v>
      </c>
      <c r="EQ15" s="42" t="n">
        <v>8</v>
      </c>
      <c r="ER15" s="42" t="n">
        <v>8</v>
      </c>
      <c r="ES15" s="42" t="n">
        <v>8</v>
      </c>
      <c r="ET15" s="42" t="n">
        <v>8</v>
      </c>
      <c r="EU15" s="42" t="n">
        <v>8</v>
      </c>
      <c r="EV15" s="42" t="n">
        <v>8</v>
      </c>
      <c r="EW15" s="42" t="n">
        <v>8</v>
      </c>
      <c r="EX15" s="42" t="n">
        <v>8</v>
      </c>
      <c r="EY15" s="42" t="n">
        <v>8</v>
      </c>
      <c r="EZ15" s="42" t="n">
        <v>8</v>
      </c>
      <c r="FA15" s="42" t="n">
        <v>8</v>
      </c>
      <c r="FB15" s="42" t="n">
        <v>8</v>
      </c>
      <c r="FC15" s="42" t="n">
        <v>8</v>
      </c>
      <c r="FD15" s="42" t="n">
        <v>8</v>
      </c>
      <c r="FE15" s="42" t="n">
        <v>8</v>
      </c>
      <c r="FF15" s="42" t="n">
        <v>8</v>
      </c>
      <c r="FG15" s="42" t="n">
        <v>8</v>
      </c>
      <c r="FH15" s="42" t="n">
        <v>8</v>
      </c>
      <c r="FI15" s="42" t="n">
        <v>8</v>
      </c>
      <c r="FJ15" s="42" t="n">
        <v>8</v>
      </c>
      <c r="FK15" s="42" t="n">
        <v>8</v>
      </c>
      <c r="FL15" s="42" t="n">
        <v>8</v>
      </c>
      <c r="FM15" s="42" t="n">
        <v>8</v>
      </c>
      <c r="FN15" s="42" t="n">
        <v>8</v>
      </c>
      <c r="FO15" s="42" t="n">
        <v>8</v>
      </c>
      <c r="FP15" s="42" t="n">
        <v>8</v>
      </c>
      <c r="FQ15" s="42" t="n">
        <v>8</v>
      </c>
      <c r="FR15" s="42" t="n">
        <v>8</v>
      </c>
      <c r="FS15" s="42" t="n">
        <v>8</v>
      </c>
      <c r="FT15" s="42" t="n">
        <v>8</v>
      </c>
      <c r="FU15" s="42" t="n">
        <v>8</v>
      </c>
      <c r="FV15" s="42" t="n">
        <v>8</v>
      </c>
      <c r="FW15" s="42" t="n">
        <v>8</v>
      </c>
      <c r="FX15" s="42" t="n">
        <v>8</v>
      </c>
      <c r="FY15" s="42" t="n">
        <v>8</v>
      </c>
      <c r="FZ15" s="42" t="n">
        <v>8</v>
      </c>
      <c r="GA15" s="42" t="n">
        <v>8</v>
      </c>
      <c r="GB15" s="42" t="n">
        <v>8</v>
      </c>
      <c r="GC15" s="42" t="n">
        <v>8</v>
      </c>
      <c r="GD15" s="42" t="n">
        <v>8</v>
      </c>
      <c r="GE15" s="42" t="n">
        <v>8</v>
      </c>
      <c r="GF15" s="42" t="n">
        <v>8</v>
      </c>
      <c r="GG15" s="42" t="n">
        <v>8</v>
      </c>
      <c r="GH15" s="42" t="n">
        <v>8</v>
      </c>
      <c r="GI15" s="42" t="n">
        <v>8</v>
      </c>
      <c r="GJ15" s="42" t="n">
        <v>8</v>
      </c>
      <c r="GK15" s="42" t="n">
        <v>8</v>
      </c>
      <c r="GL15" s="42" t="n">
        <v>8</v>
      </c>
      <c r="GM15" s="42" t="n">
        <v>8</v>
      </c>
      <c r="GN15" s="42" t="n">
        <v>8</v>
      </c>
      <c r="GO15" s="42" t="n">
        <v>8</v>
      </c>
      <c r="GP15" s="42" t="n">
        <v>8</v>
      </c>
      <c r="GQ15" s="42" t="n">
        <v>8</v>
      </c>
      <c r="GR15" s="42" t="n">
        <v>8</v>
      </c>
      <c r="GS15" s="42" t="n">
        <v>8</v>
      </c>
      <c r="GT15" s="42" t="n">
        <v>8</v>
      </c>
      <c r="GU15" s="42" t="n">
        <v>8</v>
      </c>
      <c r="GV15" s="42" t="n">
        <v>8</v>
      </c>
      <c r="GW15" s="42" t="n">
        <v>8</v>
      </c>
      <c r="GX15" s="42" t="n">
        <v>8</v>
      </c>
      <c r="GY15" s="42" t="n">
        <v>8</v>
      </c>
      <c r="GZ15" s="42" t="n">
        <v>8</v>
      </c>
      <c r="HA15" s="42" t="n">
        <v>8</v>
      </c>
      <c r="HB15" s="42" t="n">
        <v>8</v>
      </c>
      <c r="HC15" s="42" t="n">
        <v>8</v>
      </c>
      <c r="HD15" s="42" t="n">
        <v>8</v>
      </c>
      <c r="HE15" s="42" t="n">
        <v>8</v>
      </c>
      <c r="HF15" s="42" t="n">
        <v>8</v>
      </c>
      <c r="HG15" s="42" t="n">
        <v>8</v>
      </c>
      <c r="HH15" s="42" t="n">
        <v>8</v>
      </c>
      <c r="HI15" s="42" t="n">
        <v>8</v>
      </c>
      <c r="HJ15" s="42" t="n">
        <v>8</v>
      </c>
      <c r="HK15" s="42" t="n">
        <v>8</v>
      </c>
      <c r="HL15" s="42" t="n">
        <v>8</v>
      </c>
      <c r="HM15" s="42" t="n">
        <v>8</v>
      </c>
      <c r="HN15" s="42" t="n">
        <v>8</v>
      </c>
      <c r="HO15" s="42" t="n">
        <v>8</v>
      </c>
      <c r="HP15" s="42" t="n">
        <v>8</v>
      </c>
      <c r="HQ15" s="42" t="n">
        <v>8</v>
      </c>
      <c r="HR15" s="42" t="n">
        <v>8</v>
      </c>
      <c r="HS15" s="42" t="n">
        <v>8</v>
      </c>
      <c r="HT15" s="42" t="n">
        <v>8</v>
      </c>
      <c r="HU15" s="42" t="n">
        <v>8</v>
      </c>
      <c r="HV15" s="42" t="n">
        <v>8</v>
      </c>
      <c r="HW15" s="42" t="n">
        <v>8</v>
      </c>
      <c r="HX15" s="42" t="n">
        <v>8</v>
      </c>
      <c r="HY15" s="42" t="n">
        <v>8</v>
      </c>
      <c r="HZ15" s="42" t="n">
        <v>8</v>
      </c>
      <c r="IA15" s="42" t="n">
        <v>8</v>
      </c>
      <c r="IB15" s="42" t="n">
        <v>8</v>
      </c>
      <c r="IC15" s="42" t="n">
        <v>8</v>
      </c>
      <c r="ID15" s="42" t="n">
        <v>8</v>
      </c>
      <c r="IE15" s="42" t="n">
        <v>8</v>
      </c>
      <c r="IF15" s="42" t="n">
        <v>8</v>
      </c>
      <c r="IG15" s="42" t="n">
        <v>8</v>
      </c>
      <c r="IH15" s="42" t="n">
        <v>8</v>
      </c>
      <c r="II15" s="42" t="n">
        <v>8</v>
      </c>
      <c r="IJ15" s="42" t="n">
        <v>8</v>
      </c>
      <c r="IK15" s="42" t="n">
        <v>8</v>
      </c>
      <c r="IL15" s="42" t="n">
        <v>8</v>
      </c>
      <c r="IM15" s="42" t="n">
        <v>8</v>
      </c>
      <c r="IN15" s="42" t="n">
        <v>8</v>
      </c>
      <c r="IO15" s="42" t="n">
        <v>8</v>
      </c>
      <c r="IP15" s="42" t="n">
        <v>8</v>
      </c>
      <c r="IQ15" s="42" t="n">
        <v>8</v>
      </c>
      <c r="IR15" s="42" t="n">
        <v>8</v>
      </c>
      <c r="IS15" s="42" t="n">
        <v>8</v>
      </c>
      <c r="IT15" s="42" t="n">
        <v>8</v>
      </c>
      <c r="IU15" s="42" t="n">
        <v>8</v>
      </c>
      <c r="IV15" s="42" t="n">
        <v>8</v>
      </c>
      <c r="IW15" s="42"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type="textLength">
      <formula1>900</formula1>
      <formula2>0</formula2>
    </dataValidation>
    <dataValidation allowBlank="true" errorStyle="stop" operator="between" prompt="Укажите время в формате ЧЧ:ММ" showDropDown="false" showErrorMessage="true" showInputMessage="true" sqref="H2" type="time">
      <formula1>0</formula1>
      <formula2>0.999305555555556</formula2>
    </dataValidation>
    <dataValidation allowBlank="true" errorStyle="stop" operator="lessThanOrEqual" showDropDown="false" showErrorMessage="true" showInputMessage="true" sqref="I2" type="textLength">
      <formula1>990</formula1>
      <formula2>0</formula2>
    </dataValidation>
    <dataValidation allowBlank="true" errorStyle="stop" operator="between" showDropDown="false" showErrorMessage="true" showInputMessage="true" sqref="H3:I3" type="textLength">
      <formula1>13</formula1>
      <formula2>15</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21" width="3"/>
    <col collapsed="false" customWidth="true" hidden="false" outlineLevel="0" max="5" min="5" style="42" width="6"/>
    <col collapsed="false" customWidth="true" hidden="false" outlineLevel="0" max="6" min="6" style="42" width="27"/>
    <col collapsed="false" customWidth="true" hidden="false" outlineLevel="0" max="7" min="7" style="42" width="29"/>
    <col collapsed="false" customWidth="true" hidden="false" outlineLevel="0" max="8" min="8" style="42" width="25"/>
    <col collapsed="false" customWidth="true" hidden="false" outlineLevel="0" max="9" min="9" style="42" width="5"/>
    <col collapsed="false" customWidth="true" hidden="false" outlineLevel="0" max="10" min="10" style="42" width="6"/>
    <col collapsed="false" customWidth="true" hidden="false" outlineLevel="0" max="11" min="11" style="42" width="41"/>
    <col collapsed="false" customWidth="true" hidden="false" outlineLevel="0" max="12" min="12" style="42" width="42"/>
    <col collapsed="false" customWidth="true" hidden="false" outlineLevel="0" max="13" min="13" style="42" width="41"/>
    <col collapsed="false" customWidth="true" hidden="false" outlineLevel="0" max="14" min="14" style="42" width="89"/>
    <col collapsed="false" customWidth="true" hidden="false" outlineLevel="0" max="15" min="15" style="122" width="3"/>
    <col collapsed="false" customWidth="true" hidden="false" outlineLevel="0" max="16" min="16" style="122" width="8"/>
    <col collapsed="false" customWidth="false" hidden="true" outlineLevel="0" max="17" min="17" style="42" width="9.15"/>
  </cols>
  <sheetData>
    <row r="1" customFormat="false" ht="22.5" hidden="true" customHeight="true" outlineLevel="0" collapsed="false">
      <c r="Q1" s="42" t="s">
        <v>14</v>
      </c>
    </row>
    <row r="2" s="55" customFormat="true" ht="22.5" hidden="true" customHeight="true" outlineLevel="0" collapsed="false">
      <c r="A2" s="124"/>
      <c r="B2" s="45" t="n">
        <v>1</v>
      </c>
      <c r="C2" s="45"/>
      <c r="D2" s="842" t="s">
        <v>686</v>
      </c>
      <c r="E2" s="138" t="n">
        <v>1</v>
      </c>
      <c r="F2" s="426" t="str">
        <f aca="false">IF(region_name="","",region_name)</f>
        <v>Свердловская область</v>
      </c>
      <c r="G2" s="975"/>
      <c r="H2" s="336"/>
      <c r="I2" s="303"/>
      <c r="J2" s="263" t="n">
        <v>1</v>
      </c>
      <c r="K2" s="332"/>
      <c r="L2" s="332"/>
      <c r="M2" s="332"/>
      <c r="N2" s="314"/>
      <c r="O2" s="972"/>
      <c r="P2" s="49"/>
      <c r="Q2" s="55" t="n">
        <v>0</v>
      </c>
    </row>
    <row r="3" s="55" customFormat="true" ht="22.5" hidden="true" customHeight="true" outlineLevel="0" collapsed="false">
      <c r="A3" s="114"/>
      <c r="B3" s="45"/>
      <c r="C3" s="45"/>
      <c r="D3" s="162"/>
      <c r="E3" s="138"/>
      <c r="F3" s="426"/>
      <c r="G3" s="975"/>
      <c r="H3" s="336"/>
      <c r="I3" s="163"/>
      <c r="J3" s="606"/>
      <c r="K3" s="606" t="s">
        <v>1877</v>
      </c>
      <c r="L3" s="990"/>
      <c r="M3" s="991"/>
      <c r="N3" s="992"/>
      <c r="O3" s="972"/>
      <c r="P3" s="49"/>
      <c r="Q3" s="55" t="n">
        <v>0</v>
      </c>
    </row>
    <row r="4" s="49" customFormat="true" ht="5.25" hidden="true" customHeight="true" outlineLevel="0" collapsed="false">
      <c r="A4" s="124"/>
      <c r="D4" s="125"/>
      <c r="F4" s="126" t="s">
        <v>81</v>
      </c>
      <c r="G4" s="125" t="s">
        <v>82</v>
      </c>
      <c r="H4" s="125"/>
      <c r="I4" s="125"/>
      <c r="J4" s="993"/>
      <c r="K4" s="125"/>
      <c r="L4" s="125"/>
      <c r="M4" s="125"/>
      <c r="N4" s="125"/>
      <c r="O4" s="126" t="s">
        <v>81</v>
      </c>
      <c r="P4" s="126"/>
      <c r="Q4" s="49" t="n">
        <v>0</v>
      </c>
    </row>
    <row r="5" s="55" customFormat="true" ht="22.5" hidden="true" customHeight="true" outlineLevel="0" collapsed="false">
      <c r="A5" s="124"/>
      <c r="B5" s="45" t="n">
        <v>1</v>
      </c>
      <c r="C5" s="45"/>
      <c r="D5" s="162"/>
      <c r="E5" s="992"/>
      <c r="F5" s="992"/>
      <c r="G5" s="992"/>
      <c r="H5" s="994"/>
      <c r="I5" s="995" t="s">
        <v>686</v>
      </c>
      <c r="J5" s="719" t="n">
        <v>1</v>
      </c>
      <c r="K5" s="332"/>
      <c r="L5" s="332"/>
      <c r="M5" s="332"/>
      <c r="N5" s="314"/>
      <c r="O5" s="972"/>
      <c r="P5" s="49"/>
      <c r="Q5" s="55" t="n">
        <v>0</v>
      </c>
    </row>
    <row r="6" s="133" customFormat="true" ht="14.25" hidden="false" customHeight="true" outlineLevel="0" collapsed="false">
      <c r="A6" s="42"/>
      <c r="B6" s="45"/>
      <c r="C6" s="42"/>
      <c r="D6" s="121"/>
      <c r="E6" s="42"/>
      <c r="F6" s="42"/>
      <c r="G6" s="42"/>
      <c r="H6" s="42"/>
      <c r="I6" s="42"/>
      <c r="J6" s="42"/>
      <c r="K6" s="42"/>
      <c r="L6" s="42"/>
      <c r="M6" s="42"/>
      <c r="N6" s="42"/>
      <c r="O6" s="126"/>
      <c r="P6" s="122"/>
      <c r="Q6" s="133" t="n">
        <v>14</v>
      </c>
    </row>
    <row r="7" s="133" customFormat="true" ht="27" hidden="false" customHeight="true" outlineLevel="0" collapsed="false">
      <c r="A7" s="42"/>
      <c r="B7" s="45"/>
      <c r="C7" s="42"/>
      <c r="D7" s="121"/>
      <c r="E7" s="996" t="str">
        <f aca="false">"Форма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996"/>
      <c r="G7" s="996"/>
      <c r="H7" s="996"/>
      <c r="I7" s="996"/>
      <c r="J7" s="996"/>
      <c r="K7" s="996"/>
      <c r="L7" s="996"/>
      <c r="M7" s="996"/>
      <c r="N7" s="114"/>
      <c r="O7" s="126"/>
      <c r="P7" s="122"/>
      <c r="Q7" s="133" t="n">
        <v>26</v>
      </c>
    </row>
    <row r="8" s="133" customFormat="true" ht="14.25" hidden="false" customHeight="true" outlineLevel="0" collapsed="false">
      <c r="A8" s="42"/>
      <c r="B8" s="45"/>
      <c r="C8" s="42"/>
      <c r="D8" s="121"/>
      <c r="E8" s="42"/>
      <c r="F8" s="135"/>
      <c r="G8" s="135"/>
      <c r="H8" s="135"/>
      <c r="I8" s="135"/>
      <c r="J8" s="135"/>
      <c r="K8" s="135"/>
      <c r="L8" s="135"/>
      <c r="M8" s="135"/>
      <c r="N8" s="135"/>
      <c r="O8" s="122"/>
      <c r="P8" s="122"/>
      <c r="Q8" s="133" t="n">
        <v>14</v>
      </c>
    </row>
    <row r="9" s="999" customFormat="true" ht="14.25" hidden="true" customHeight="true" outlineLevel="0" collapsed="false">
      <c r="A9" s="43"/>
      <c r="B9" s="107"/>
      <c r="C9" s="43"/>
      <c r="D9" s="121"/>
      <c r="E9" s="997"/>
      <c r="F9" s="997"/>
      <c r="G9" s="997"/>
      <c r="H9" s="997"/>
      <c r="I9" s="997"/>
      <c r="J9" s="997"/>
      <c r="K9" s="997"/>
      <c r="L9" s="997"/>
      <c r="M9" s="998"/>
      <c r="O9" s="194"/>
      <c r="P9" s="194"/>
      <c r="Q9" s="999" t="n">
        <v>0</v>
      </c>
    </row>
    <row r="10" s="133" customFormat="true" ht="14.25" hidden="false" customHeight="true" outlineLevel="0" collapsed="false">
      <c r="A10" s="42"/>
      <c r="B10" s="45"/>
      <c r="C10" s="42"/>
      <c r="D10" s="121"/>
      <c r="E10" s="263" t="s">
        <v>297</v>
      </c>
      <c r="F10" s="263"/>
      <c r="G10" s="263"/>
      <c r="H10" s="263"/>
      <c r="I10" s="263"/>
      <c r="J10" s="263"/>
      <c r="K10" s="263"/>
      <c r="L10" s="263"/>
      <c r="M10" s="263"/>
      <c r="N10" s="141" t="s">
        <v>298</v>
      </c>
      <c r="O10" s="122"/>
      <c r="P10" s="122"/>
      <c r="Q10" s="133" t="n">
        <v>14</v>
      </c>
    </row>
    <row r="11" s="133" customFormat="true" ht="44.25" hidden="false" customHeight="true" outlineLevel="0" collapsed="false">
      <c r="A11" s="42"/>
      <c r="B11" s="45"/>
      <c r="C11" s="42"/>
      <c r="D11" s="121"/>
      <c r="E11" s="974" t="s">
        <v>86</v>
      </c>
      <c r="F11" s="141" t="s">
        <v>301</v>
      </c>
      <c r="G11" s="141" t="s">
        <v>1878</v>
      </c>
      <c r="H11" s="141"/>
      <c r="I11" s="141" t="s">
        <v>1879</v>
      </c>
      <c r="J11" s="141"/>
      <c r="K11" s="141"/>
      <c r="L11" s="141" t="s">
        <v>1880</v>
      </c>
      <c r="M11" s="140" t="s">
        <v>1881</v>
      </c>
      <c r="N11" s="141"/>
      <c r="O11" s="122"/>
      <c r="P11" s="122"/>
      <c r="Q11" s="133" t="n">
        <v>42</v>
      </c>
    </row>
    <row r="12" s="133" customFormat="true" ht="29.25" hidden="false" customHeight="true" outlineLevel="0" collapsed="false">
      <c r="A12" s="42"/>
      <c r="B12" s="45"/>
      <c r="C12" s="42"/>
      <c r="D12" s="121"/>
      <c r="E12" s="974"/>
      <c r="F12" s="141"/>
      <c r="G12" s="141" t="s">
        <v>1882</v>
      </c>
      <c r="H12" s="141" t="s">
        <v>305</v>
      </c>
      <c r="I12" s="141"/>
      <c r="J12" s="141"/>
      <c r="K12" s="141"/>
      <c r="L12" s="141"/>
      <c r="M12" s="140"/>
      <c r="N12" s="141"/>
      <c r="O12" s="122"/>
      <c r="P12" s="122"/>
      <c r="Q12" s="133" t="n">
        <v>28</v>
      </c>
    </row>
    <row r="13" s="55" customFormat="true" ht="23.25" hidden="false" customHeight="true" outlineLevel="0" collapsed="false">
      <c r="A13" s="43" t="n">
        <v>26379339</v>
      </c>
      <c r="B13" s="45" t="n">
        <v>1</v>
      </c>
      <c r="C13" s="45"/>
      <c r="D13" s="162"/>
      <c r="E13" s="138" t="n">
        <v>1</v>
      </c>
      <c r="F13" s="1000" t="str">
        <f aca="false">IF(region_name="","",region_name)</f>
        <v>Свердловская область</v>
      </c>
      <c r="G13" s="406"/>
      <c r="H13" s="1001"/>
      <c r="I13" s="303"/>
      <c r="J13" s="155" t="n">
        <v>1</v>
      </c>
      <c r="K13" s="1002"/>
      <c r="L13" s="1003"/>
      <c r="M13" s="1003"/>
      <c r="N13" s="1004" t="s">
        <v>1883</v>
      </c>
      <c r="O13" s="972"/>
      <c r="P13" s="49"/>
      <c r="Q13" s="55" t="n">
        <v>22</v>
      </c>
    </row>
    <row r="14" s="55" customFormat="true" ht="23.25" hidden="false" customHeight="true" outlineLevel="0" collapsed="false">
      <c r="A14" s="43"/>
      <c r="B14" s="45"/>
      <c r="C14" s="45"/>
      <c r="D14" s="162"/>
      <c r="E14" s="138"/>
      <c r="F14" s="1000"/>
      <c r="G14" s="406"/>
      <c r="H14" s="1001"/>
      <c r="I14" s="163"/>
      <c r="J14" s="606"/>
      <c r="K14" s="606" t="s">
        <v>1877</v>
      </c>
      <c r="L14" s="990"/>
      <c r="M14" s="990"/>
      <c r="N14" s="1004"/>
      <c r="O14" s="972"/>
      <c r="P14" s="49"/>
      <c r="Q14" s="55" t="n">
        <v>22</v>
      </c>
    </row>
    <row r="15" s="55" customFormat="true" ht="23.25" hidden="false" customHeight="true" outlineLevel="0" collapsed="false">
      <c r="A15" s="43"/>
      <c r="B15" s="45"/>
      <c r="C15" s="161"/>
      <c r="D15" s="162"/>
      <c r="E15" s="163"/>
      <c r="F15" s="606" t="s">
        <v>1869</v>
      </c>
      <c r="G15" s="978"/>
      <c r="H15" s="978"/>
      <c r="I15" s="166"/>
      <c r="J15" s="166"/>
      <c r="K15" s="166"/>
      <c r="L15" s="166"/>
      <c r="M15" s="166"/>
      <c r="N15" s="1004"/>
      <c r="O15" s="980"/>
      <c r="P15" s="49"/>
      <c r="Q15" s="55" t="n">
        <v>22</v>
      </c>
    </row>
    <row r="16" s="133" customFormat="true" ht="21.75" hidden="false" customHeight="true" outlineLevel="0" collapsed="false">
      <c r="A16" s="42"/>
      <c r="B16" s="45"/>
      <c r="C16" s="42"/>
      <c r="D16" s="121"/>
      <c r="E16" s="172"/>
      <c r="F16" s="172"/>
      <c r="G16" s="172"/>
      <c r="H16" s="172"/>
      <c r="I16" s="172"/>
      <c r="J16" s="172"/>
      <c r="K16" s="172"/>
      <c r="L16" s="172"/>
      <c r="M16" s="42"/>
      <c r="N16" s="42"/>
      <c r="O16" s="122"/>
      <c r="P16" s="122"/>
      <c r="Q16" s="133" t="n">
        <v>21</v>
      </c>
    </row>
    <row r="17" s="133" customFormat="true" ht="14.25" hidden="false" customHeight="true" outlineLevel="0" collapsed="false">
      <c r="A17" s="42"/>
      <c r="B17" s="45"/>
      <c r="C17" s="42"/>
      <c r="D17" s="121"/>
      <c r="E17" s="42"/>
      <c r="F17" s="42"/>
      <c r="G17" s="42"/>
      <c r="H17" s="42"/>
      <c r="I17" s="42"/>
      <c r="J17" s="42"/>
      <c r="K17" s="42"/>
      <c r="L17" s="42"/>
      <c r="M17" s="42"/>
      <c r="N17" s="42"/>
      <c r="O17" s="122"/>
      <c r="P17" s="122"/>
      <c r="Q17" s="133" t="n">
        <v>14</v>
      </c>
    </row>
    <row r="18" s="133" customFormat="true" ht="0.75" hidden="false" customHeight="true" outlineLevel="0" collapsed="false">
      <c r="A18" s="42"/>
      <c r="B18" s="45"/>
      <c r="C18" s="42"/>
      <c r="D18" s="121"/>
      <c r="E18" s="42"/>
      <c r="F18" s="42"/>
      <c r="G18" s="42"/>
      <c r="H18" s="42"/>
      <c r="I18" s="42"/>
      <c r="J18" s="42"/>
      <c r="K18" s="42"/>
      <c r="L18" s="42"/>
      <c r="M18" s="42"/>
      <c r="N18" s="42"/>
      <c r="O18" s="122"/>
      <c r="P18" s="122"/>
      <c r="Q18" s="133" t="n">
        <v>1</v>
      </c>
    </row>
    <row r="19" customFormat="false" ht="22.5" hidden="true" customHeight="true" outlineLevel="0" collapsed="false">
      <c r="A19" s="42" t="s">
        <v>80</v>
      </c>
      <c r="B19" s="45" t="n">
        <v>0</v>
      </c>
      <c r="C19" s="42" t="n">
        <v>0</v>
      </c>
      <c r="D19" s="121" t="n">
        <v>3</v>
      </c>
      <c r="E19" s="42" t="n">
        <v>6</v>
      </c>
      <c r="F19" s="42" t="n">
        <v>27</v>
      </c>
      <c r="G19" s="42" t="n">
        <v>29</v>
      </c>
      <c r="H19" s="42" t="n">
        <v>25</v>
      </c>
      <c r="I19" s="42" t="n">
        <v>5</v>
      </c>
      <c r="J19" s="42" t="n">
        <v>6</v>
      </c>
      <c r="K19" s="42" t="n">
        <v>41</v>
      </c>
      <c r="L19" s="42" t="n">
        <v>42</v>
      </c>
      <c r="M19" s="42" t="n">
        <v>41</v>
      </c>
      <c r="N19" s="42" t="n">
        <v>89</v>
      </c>
      <c r="O19" s="122" t="n">
        <v>3</v>
      </c>
      <c r="P19" s="122" t="n">
        <v>8</v>
      </c>
      <c r="Q19" s="42" t="n">
        <v>23</v>
      </c>
    </row>
  </sheetData>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4"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 showDropDown="false" showErrorMessage="true" showInputMessage="true" sqref="M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AEBEE"/>
    <pageSetUpPr fitToPage="true"/>
  </sheetPr>
  <dimension ref="A1:M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250" width="9.15"/>
    <col collapsed="false" customWidth="false" hidden="true" outlineLevel="0" max="2" min="2" style="136" width="9.15"/>
    <col collapsed="false" customWidth="true" hidden="false" outlineLevel="0" max="3" min="3" style="1005" width="3"/>
    <col collapsed="false" customWidth="true" hidden="false" outlineLevel="0" max="4" min="4" style="136" width="6"/>
    <col collapsed="false" customWidth="true" hidden="false" outlineLevel="0" max="5" min="5" style="136" width="22"/>
    <col collapsed="false" customWidth="true" hidden="false" outlineLevel="0" max="6" min="6" style="136" width="15"/>
    <col collapsed="false" customWidth="true" hidden="false" outlineLevel="0" max="7" min="7" style="136" width="14"/>
    <col collapsed="false" customWidth="true" hidden="false" outlineLevel="0" max="8" min="8" style="136" width="47"/>
    <col collapsed="false" customWidth="true" hidden="false" outlineLevel="0" max="9" min="9" style="136" width="115"/>
    <col collapsed="false" customWidth="true" hidden="false" outlineLevel="0" max="10" min="10" style="136" width="3"/>
    <col collapsed="false" customWidth="true" hidden="false" outlineLevel="0" max="12" min="11" style="136" width="8"/>
    <col collapsed="false" customWidth="false" hidden="true" outlineLevel="0" max="13" min="13" style="136" width="9.15"/>
  </cols>
  <sheetData>
    <row r="1" customFormat="false" ht="14.25" hidden="true" customHeight="true" outlineLevel="0" collapsed="false">
      <c r="M1" s="136" t="s">
        <v>14</v>
      </c>
    </row>
    <row r="2" customFormat="false" ht="14.25" hidden="true" customHeight="true" outlineLevel="0" collapsed="false">
      <c r="M2" s="136" t="n">
        <v>0</v>
      </c>
    </row>
    <row r="3" customFormat="false" ht="14.25" hidden="true" customHeight="true" outlineLevel="0" collapsed="false">
      <c r="M3" s="136" t="n">
        <v>0</v>
      </c>
    </row>
    <row r="4" customFormat="false" ht="3" hidden="false" customHeight="true" outlineLevel="0" collapsed="false">
      <c r="M4" s="136" t="n">
        <v>3</v>
      </c>
    </row>
    <row r="5" s="42" customFormat="true" ht="31.5" hidden="false" customHeight="true" outlineLevel="0" collapsed="false">
      <c r="A5" s="48"/>
      <c r="C5" s="328"/>
      <c r="D5" s="1006" t="s">
        <v>1884</v>
      </c>
      <c r="E5" s="1006"/>
      <c r="F5" s="1006"/>
      <c r="G5" s="1006"/>
      <c r="H5" s="1006"/>
      <c r="I5" s="216"/>
      <c r="M5" s="42" t="n">
        <v>30</v>
      </c>
    </row>
    <row r="6" customFormat="false" ht="3" hidden="true" customHeight="true" outlineLevel="0" collapsed="false">
      <c r="D6" s="282"/>
      <c r="E6" s="282"/>
      <c r="F6" s="282"/>
      <c r="G6" s="282"/>
      <c r="H6" s="282"/>
      <c r="I6" s="282"/>
      <c r="M6" s="136" t="n">
        <v>0</v>
      </c>
    </row>
    <row r="7" s="250" customFormat="true" ht="14.25" hidden="false" customHeight="true" outlineLevel="0" collapsed="false">
      <c r="B7" s="136"/>
      <c r="C7" s="1005"/>
      <c r="D7" s="1007"/>
      <c r="E7" s="1007"/>
      <c r="F7" s="1007"/>
      <c r="G7" s="1007"/>
      <c r="H7" s="290"/>
      <c r="I7" s="1007"/>
      <c r="J7" s="1008"/>
      <c r="M7" s="250" t="n">
        <v>14</v>
      </c>
    </row>
    <row r="8" customFormat="false" ht="14.25" hidden="false" customHeight="true" outlineLevel="0" collapsed="false">
      <c r="D8" s="395" t="s">
        <v>297</v>
      </c>
      <c r="E8" s="395"/>
      <c r="F8" s="395"/>
      <c r="G8" s="395"/>
      <c r="H8" s="395"/>
      <c r="I8" s="395" t="s">
        <v>298</v>
      </c>
      <c r="M8" s="136" t="n">
        <v>14</v>
      </c>
    </row>
    <row r="9" customFormat="false" ht="29.25" hidden="false" customHeight="true" outlineLevel="0" collapsed="false">
      <c r="D9" s="395" t="s">
        <v>86</v>
      </c>
      <c r="E9" s="395" t="s">
        <v>1885</v>
      </c>
      <c r="F9" s="395"/>
      <c r="G9" s="395"/>
      <c r="H9" s="395"/>
      <c r="I9" s="395"/>
      <c r="M9" s="136" t="n">
        <v>28</v>
      </c>
    </row>
    <row r="10" customFormat="false" ht="24" hidden="false" customHeight="true" outlineLevel="0" collapsed="false">
      <c r="D10" s="395"/>
      <c r="E10" s="395" t="s">
        <v>1886</v>
      </c>
      <c r="F10" s="395" t="s">
        <v>1887</v>
      </c>
      <c r="G10" s="395" t="s">
        <v>1888</v>
      </c>
      <c r="H10" s="395" t="s">
        <v>387</v>
      </c>
      <c r="I10" s="395"/>
      <c r="M10" s="136" t="n">
        <v>23</v>
      </c>
    </row>
    <row r="11" customFormat="false" ht="12" hidden="true" customHeight="true" outlineLevel="0" collapsed="false">
      <c r="D11" s="366" t="s">
        <v>107</v>
      </c>
      <c r="E11" s="366" t="s">
        <v>89</v>
      </c>
      <c r="F11" s="366" t="s">
        <v>109</v>
      </c>
      <c r="G11" s="366" t="s">
        <v>90</v>
      </c>
      <c r="H11" s="366" t="s">
        <v>91</v>
      </c>
      <c r="I11" s="366" t="s">
        <v>110</v>
      </c>
      <c r="M11" s="136" t="n">
        <v>0</v>
      </c>
    </row>
    <row r="12" s="136" customFormat="true" ht="26.25" hidden="false" customHeight="true" outlineLevel="0" collapsed="false">
      <c r="A12" s="56" t="s">
        <v>88</v>
      </c>
      <c r="C12" s="275"/>
      <c r="D12" s="200" t="s">
        <v>107</v>
      </c>
      <c r="E12" s="332"/>
      <c r="F12" s="332"/>
      <c r="G12" s="444"/>
      <c r="H12" s="408"/>
      <c r="I12" s="390" t="s">
        <v>1889</v>
      </c>
      <c r="K12" s="1009"/>
      <c r="L12" s="160"/>
      <c r="M12" s="136" t="n">
        <v>25</v>
      </c>
    </row>
    <row r="13" customFormat="false" ht="15.75" hidden="false" customHeight="true" outlineLevel="0" collapsed="false">
      <c r="A13" s="136"/>
      <c r="C13" s="136"/>
      <c r="D13" s="731"/>
      <c r="E13" s="170" t="s">
        <v>465</v>
      </c>
      <c r="F13" s="851"/>
      <c r="G13" s="851"/>
      <c r="H13" s="732"/>
      <c r="I13" s="390"/>
      <c r="M13" s="136" t="n">
        <v>15</v>
      </c>
    </row>
    <row r="14" customFormat="false" ht="3" hidden="false" customHeight="true" outlineLevel="0" collapsed="false">
      <c r="A14" s="136"/>
      <c r="C14" s="136"/>
      <c r="M14" s="136" t="n">
        <v>3</v>
      </c>
    </row>
    <row r="15" customFormat="false" ht="29.25" hidden="false" customHeight="true" outlineLevel="0" collapsed="false">
      <c r="E15" s="1010" t="s">
        <v>1890</v>
      </c>
      <c r="F15" s="1010"/>
      <c r="G15" s="1010"/>
      <c r="H15" s="1010"/>
      <c r="M15" s="136" t="n">
        <v>28</v>
      </c>
    </row>
    <row r="16" customFormat="false" ht="14.25" hidden="true" customHeight="true" outlineLevel="0" collapsed="false">
      <c r="A16" s="250" t="s">
        <v>80</v>
      </c>
      <c r="B16" s="136" t="n">
        <v>0</v>
      </c>
      <c r="C16" s="1005" t="n">
        <v>3</v>
      </c>
      <c r="D16" s="136" t="n">
        <v>6</v>
      </c>
      <c r="E16" s="136" t="n">
        <v>22</v>
      </c>
      <c r="F16" s="136" t="n">
        <v>15</v>
      </c>
      <c r="G16" s="136" t="n">
        <v>14</v>
      </c>
      <c r="H16" s="136" t="n">
        <v>47</v>
      </c>
      <c r="I16" s="136" t="n">
        <v>115</v>
      </c>
      <c r="J16" s="136" t="n">
        <v>3</v>
      </c>
      <c r="K16" s="136" t="n">
        <v>8</v>
      </c>
      <c r="L16" s="136" t="n">
        <v>8</v>
      </c>
      <c r="M16" s="136" t="n">
        <v>14</v>
      </c>
    </row>
  </sheetData>
  <mergeCells count="7">
    <mergeCell ref="D5:H5"/>
    <mergeCell ref="D8:H8"/>
    <mergeCell ref="I8:I10"/>
    <mergeCell ref="D9:D10"/>
    <mergeCell ref="E9:H9"/>
    <mergeCell ref="I12:I13"/>
    <mergeCell ref="E15:H15"/>
  </mergeCells>
  <dataValidations count="3">
    <dataValidation allowBlank="true" error="Допускается ввод не более 900 символов!" errorStyle="stop" errorTitle="Ошибка" operator="lessThanOrEqual" showDropDown="false" showErrorMessage="true" showInputMessage="true" sqref="E12:F12"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2" type="textLength">
      <formula1>900</formula1>
      <formula2>0</formula2>
    </dataValidation>
  </dataValidations>
  <printOptions headings="false" gridLines="false" gridLinesSet="true" horizontalCentered="true" verticalCentered="false"/>
  <pageMargins left="0.240277777777778" right="0.240277777777778" top="0.240277777777778" bottom="0.240277777777778" header="0.240277777777778" footer="0.240277777777778"/>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J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2" min="1" style="1011" width="9.15"/>
    <col collapsed="false" customWidth="true" hidden="false" outlineLevel="0" max="3" min="3" style="1012" width="3"/>
    <col collapsed="false" customWidth="true" hidden="false" outlineLevel="0" max="4" min="4" style="1011" width="6"/>
    <col collapsed="false" customWidth="true" hidden="false" outlineLevel="0" max="5" min="5" style="1011" width="94"/>
    <col collapsed="false" customWidth="true" hidden="false" outlineLevel="0" max="9" min="6" style="1011" width="8"/>
    <col collapsed="false" customWidth="false" hidden="true" outlineLevel="0" max="10" min="10" style="1011" width="9.15"/>
  </cols>
  <sheetData>
    <row r="1" customFormat="false" ht="14.25" hidden="true" customHeight="true" outlineLevel="0" collapsed="false">
      <c r="J1" s="1011" t="s">
        <v>14</v>
      </c>
    </row>
    <row r="2" customFormat="false" ht="14.25" hidden="true" customHeight="true" outlineLevel="0" collapsed="false">
      <c r="J2" s="1011" t="n">
        <v>0</v>
      </c>
    </row>
    <row r="3" customFormat="false" ht="14.25" hidden="true" customHeight="true" outlineLevel="0" collapsed="false">
      <c r="J3" s="1011" t="n">
        <v>0</v>
      </c>
    </row>
    <row r="4" customFormat="false" ht="14.25" hidden="true" customHeight="true" outlineLevel="0" collapsed="false">
      <c r="J4" s="1011" t="n">
        <v>0</v>
      </c>
    </row>
    <row r="5" customFormat="false" ht="14.25" hidden="true" customHeight="true" outlineLevel="0" collapsed="false">
      <c r="J5" s="1011" t="n">
        <v>0</v>
      </c>
    </row>
    <row r="6" customFormat="false" ht="3" hidden="false" customHeight="true" outlineLevel="0" collapsed="false">
      <c r="C6" s="1013"/>
      <c r="D6" s="282"/>
      <c r="E6" s="282"/>
      <c r="J6" s="1011" t="n">
        <v>3</v>
      </c>
    </row>
    <row r="7" customFormat="false" ht="23.25" hidden="false" customHeight="true" outlineLevel="0" collapsed="false">
      <c r="C7" s="1013"/>
      <c r="D7" s="1014" t="s">
        <v>1891</v>
      </c>
      <c r="E7" s="1014"/>
      <c r="F7" s="1015"/>
      <c r="J7" s="1011" t="n">
        <v>22</v>
      </c>
    </row>
    <row r="8" customFormat="false" ht="3" hidden="false" customHeight="true" outlineLevel="0" collapsed="false">
      <c r="C8" s="1013"/>
      <c r="D8" s="282"/>
      <c r="E8" s="282"/>
      <c r="J8" s="1011" t="n">
        <v>3</v>
      </c>
    </row>
    <row r="9" customFormat="false" ht="16.5" hidden="false" customHeight="true" outlineLevel="0" collapsed="false">
      <c r="C9" s="1013"/>
      <c r="D9" s="395" t="s">
        <v>86</v>
      </c>
      <c r="E9" s="150" t="s">
        <v>1892</v>
      </c>
      <c r="J9" s="1011" t="n">
        <v>16</v>
      </c>
    </row>
    <row r="10" customFormat="false" ht="0.75" hidden="false" customHeight="true" outlineLevel="0" collapsed="false">
      <c r="C10" s="1013"/>
      <c r="D10" s="366"/>
      <c r="E10" s="366"/>
      <c r="J10" s="1011" t="n">
        <v>1</v>
      </c>
    </row>
    <row r="11" customFormat="false" ht="11.25" hidden="true" customHeight="true" outlineLevel="0" collapsed="false">
      <c r="C11" s="1013"/>
      <c r="D11" s="1016" t="n">
        <v>0</v>
      </c>
      <c r="E11" s="1017"/>
      <c r="J11" s="1011" t="n">
        <v>0</v>
      </c>
    </row>
    <row r="12" customFormat="false" ht="15.75" hidden="false" customHeight="true" outlineLevel="0" collapsed="false">
      <c r="C12" s="328"/>
      <c r="D12" s="729" t="n">
        <v>1</v>
      </c>
      <c r="E12" s="332"/>
      <c r="J12" s="1011" t="n">
        <v>15</v>
      </c>
    </row>
    <row r="13" customFormat="false" ht="12.75" hidden="false" customHeight="true" outlineLevel="0" collapsed="false">
      <c r="C13" s="1013"/>
      <c r="D13" s="380"/>
      <c r="E13" s="1018" t="s">
        <v>1893</v>
      </c>
      <c r="J13" s="1011" t="n">
        <v>12</v>
      </c>
    </row>
    <row r="14" customFormat="false" ht="3" hidden="false" customHeight="true" outlineLevel="0" collapsed="false">
      <c r="J14" s="1011" t="n">
        <v>3</v>
      </c>
    </row>
    <row r="15" customFormat="false" ht="23.25" hidden="false" customHeight="true" outlineLevel="0" collapsed="false">
      <c r="C15" s="1019"/>
      <c r="D15" s="1020" t="s">
        <v>1894</v>
      </c>
      <c r="E15" s="1020"/>
      <c r="F15" s="812"/>
      <c r="G15" s="812"/>
      <c r="H15" s="812"/>
      <c r="I15" s="812"/>
      <c r="J15" s="1011" t="n">
        <v>22</v>
      </c>
    </row>
    <row r="16" customFormat="false" ht="14.25" hidden="true" customHeight="true" outlineLevel="0" collapsed="false">
      <c r="A16" s="1011" t="s">
        <v>80</v>
      </c>
      <c r="B16" s="1011" t="n">
        <v>0</v>
      </c>
      <c r="C16" s="1012" t="n">
        <v>3</v>
      </c>
      <c r="D16" s="1011" t="n">
        <v>6</v>
      </c>
      <c r="E16" s="1011" t="n">
        <v>94</v>
      </c>
      <c r="F16" s="1011" t="n">
        <v>8</v>
      </c>
      <c r="G16" s="1011" t="n">
        <v>8</v>
      </c>
      <c r="H16" s="1011" t="n">
        <v>8</v>
      </c>
      <c r="I16" s="1011" t="n">
        <v>8</v>
      </c>
      <c r="J16" s="1011" t="n">
        <v>14</v>
      </c>
    </row>
  </sheetData>
  <mergeCells count="2">
    <mergeCell ref="D7:E7"/>
    <mergeCell ref="D15:E15"/>
  </mergeCells>
  <dataValidations count="1">
    <dataValidation allowBlank="true" error="Допускается ввод не более 900 символов!" errorStyle="stop" errorTitle="Ошибка" operator="lessThanOrEqual" showDropDown="false" showErrorMessage="true" showInputMessage="true" sqref="E11:E12"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M1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2" min="1" style="1011" width="9.15"/>
    <col collapsed="false" customWidth="true" hidden="false" outlineLevel="0" max="3" min="3" style="1012" width="3"/>
    <col collapsed="false" customWidth="true" hidden="false" outlineLevel="0" max="4" min="4" style="1011" width="6"/>
    <col collapsed="false" customWidth="true" hidden="false" outlineLevel="0" max="5" min="5" style="1011" width="94"/>
    <col collapsed="false" customWidth="true" hidden="false" outlineLevel="0" max="12" min="6" style="1011" width="8"/>
    <col collapsed="false" customWidth="false" hidden="true" outlineLevel="0" max="13" min="13" style="1011" width="9.15"/>
  </cols>
  <sheetData>
    <row r="1" customFormat="false" ht="14.25" hidden="true" customHeight="true" outlineLevel="0" collapsed="false">
      <c r="M1" s="1011" t="s">
        <v>14</v>
      </c>
    </row>
    <row r="2" customFormat="false" ht="14.25" hidden="true" customHeight="true" outlineLevel="0" collapsed="false">
      <c r="M2" s="1011" t="n">
        <v>0</v>
      </c>
    </row>
    <row r="3" customFormat="false" ht="14.25" hidden="true" customHeight="true" outlineLevel="0" collapsed="false">
      <c r="M3" s="1011" t="n">
        <v>0</v>
      </c>
    </row>
    <row r="4" customFormat="false" ht="14.25" hidden="true" customHeight="true" outlineLevel="0" collapsed="false">
      <c r="M4" s="1011" t="n">
        <v>0</v>
      </c>
    </row>
    <row r="5" customFormat="false" ht="14.25" hidden="true" customHeight="true" outlineLevel="0" collapsed="false">
      <c r="M5" s="1011" t="n">
        <v>0</v>
      </c>
    </row>
    <row r="6" customFormat="false" ht="3" hidden="false" customHeight="true" outlineLevel="0" collapsed="false">
      <c r="C6" s="1013"/>
      <c r="D6" s="282"/>
      <c r="E6" s="282"/>
      <c r="M6" s="1011" t="n">
        <v>3</v>
      </c>
    </row>
    <row r="7" customFormat="false" ht="23.25" hidden="false" customHeight="true" outlineLevel="0" collapsed="false">
      <c r="C7" s="1013"/>
      <c r="D7" s="1014" t="s">
        <v>1895</v>
      </c>
      <c r="E7" s="1014"/>
      <c r="F7" s="1015"/>
      <c r="M7" s="1011" t="n">
        <v>22</v>
      </c>
    </row>
    <row r="8" customFormat="false" ht="3" hidden="false" customHeight="true" outlineLevel="0" collapsed="false">
      <c r="C8" s="1013"/>
      <c r="D8" s="282"/>
      <c r="E8" s="282"/>
      <c r="M8" s="1011" t="n">
        <v>3</v>
      </c>
    </row>
    <row r="9" customFormat="false" ht="16.5" hidden="false" customHeight="true" outlineLevel="0" collapsed="false">
      <c r="C9" s="1013"/>
      <c r="D9" s="395" t="s">
        <v>86</v>
      </c>
      <c r="E9" s="220" t="s">
        <v>284</v>
      </c>
      <c r="M9" s="1011" t="n">
        <v>16</v>
      </c>
    </row>
    <row r="10" customFormat="false" ht="12.75" hidden="false" customHeight="true" outlineLevel="0" collapsed="false">
      <c r="C10" s="1013"/>
      <c r="D10" s="366" t="s">
        <v>107</v>
      </c>
      <c r="E10" s="366" t="s">
        <v>108</v>
      </c>
      <c r="M10" s="1011" t="n">
        <v>12</v>
      </c>
    </row>
    <row r="11" customFormat="false" ht="15" hidden="true" customHeight="true" outlineLevel="0" collapsed="false">
      <c r="C11" s="1013"/>
      <c r="D11" s="729" t="n">
        <v>0</v>
      </c>
      <c r="E11" s="397"/>
      <c r="M11" s="1011" t="n">
        <v>0</v>
      </c>
    </row>
    <row r="12" customFormat="false" ht="14.25" hidden="false" customHeight="true" outlineLevel="0" collapsed="false">
      <c r="C12" s="1013"/>
      <c r="D12" s="731"/>
      <c r="E12" s="1018" t="s">
        <v>1893</v>
      </c>
      <c r="M12" s="1011" t="n">
        <v>14</v>
      </c>
    </row>
    <row r="13" customFormat="false" ht="14.25" hidden="true" customHeight="true" outlineLevel="0" collapsed="false">
      <c r="A13" s="1011" t="s">
        <v>80</v>
      </c>
      <c r="B13" s="1011" t="n">
        <v>0</v>
      </c>
      <c r="C13" s="1012" t="n">
        <v>3</v>
      </c>
      <c r="D13" s="1011" t="n">
        <v>6</v>
      </c>
      <c r="E13" s="1011" t="n">
        <v>94</v>
      </c>
      <c r="F13" s="1011" t="n">
        <v>8</v>
      </c>
      <c r="G13" s="1011" t="n">
        <v>8</v>
      </c>
      <c r="H13" s="1011" t="n">
        <v>8</v>
      </c>
      <c r="I13" s="1011" t="n">
        <v>8</v>
      </c>
      <c r="J13" s="1011" t="n">
        <v>8</v>
      </c>
      <c r="K13" s="1011" t="n">
        <v>8</v>
      </c>
      <c r="L13" s="1011" t="n">
        <v>8</v>
      </c>
      <c r="M13" s="1011" t="n">
        <v>14</v>
      </c>
    </row>
  </sheetData>
  <mergeCells count="1">
    <mergeCell ref="D7:E7"/>
  </mergeCells>
  <dataValidations count="1">
    <dataValidation allowBlank="true" error="Допускается ввод не более 900 символов!" errorStyle="stop" errorTitle="Ошибка" operator="lessThanOrEqual" showDropDown="false" showErrorMessage="true" showInputMessage="true" sqref="E11"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BM5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true" outlineLevel="0" max="2" min="1" style="55" width="9.15"/>
    <col collapsed="false" customWidth="true" hidden="false" outlineLevel="0" max="4" min="3" style="55" width="3"/>
    <col collapsed="false" customWidth="true" hidden="false" outlineLevel="0" max="6" min="5" style="55" width="15"/>
    <col collapsed="false" customWidth="true" hidden="false" outlineLevel="0" max="7" min="7" style="55" width="11.57"/>
    <col collapsed="false" customWidth="true" hidden="false" outlineLevel="0" max="9" min="8" style="55" width="3"/>
    <col collapsed="false" customWidth="true" hidden="false" outlineLevel="0" max="10" min="10" style="55" width="12"/>
    <col collapsed="false" customWidth="true" hidden="false" outlineLevel="0" max="11" min="11" style="55" width="0.28"/>
    <col collapsed="false" customWidth="true" hidden="false" outlineLevel="0" max="13" min="12" style="55" width="10"/>
    <col collapsed="false" customWidth="true" hidden="false" outlineLevel="0" max="15" min="14" style="55" width="3"/>
    <col collapsed="false" customWidth="true" hidden="false" outlineLevel="0" max="16" min="16" style="55" width="19"/>
    <col collapsed="false" customWidth="true" hidden="false" outlineLevel="0" max="17" min="17" style="55" width="0.28"/>
    <col collapsed="false" customWidth="true" hidden="false" outlineLevel="0" max="19" min="18" style="55" width="10"/>
    <col collapsed="false" customWidth="true" hidden="false" outlineLevel="0" max="21" min="20" style="55" width="3"/>
    <col collapsed="false" customWidth="true" hidden="false" outlineLevel="0" max="22" min="22" style="55" width="25"/>
    <col collapsed="false" customWidth="true" hidden="false" outlineLevel="0" max="23" min="23" style="55" width="0.28"/>
    <col collapsed="false" customWidth="true" hidden="false" outlineLevel="0" max="25" min="24" style="55" width="10"/>
    <col collapsed="false" customWidth="true" hidden="false" outlineLevel="0" max="27" min="26" style="55" width="3"/>
    <col collapsed="false" customWidth="true" hidden="false" outlineLevel="0" max="28" min="28" style="55" width="16"/>
    <col collapsed="false" customWidth="true" hidden="false" outlineLevel="0" max="29" min="29" style="55" width="0.28"/>
    <col collapsed="false" customWidth="true" hidden="false" outlineLevel="0" max="31" min="30" style="55" width="10"/>
    <col collapsed="false" customWidth="true" hidden="false" outlineLevel="0" max="33" min="32" style="55" width="3"/>
    <col collapsed="false" customWidth="true" hidden="false" outlineLevel="0" max="34" min="34" style="55" width="8"/>
    <col collapsed="false" customWidth="true" hidden="false" outlineLevel="0" max="35" min="35" style="55" width="21"/>
    <col collapsed="false" customWidth="true" hidden="false" outlineLevel="0" max="36" min="36" style="55" width="8"/>
    <col collapsed="false" customWidth="true" hidden="false" outlineLevel="0" max="37" min="37" style="250" width="8"/>
    <col collapsed="false" customWidth="true" hidden="false" outlineLevel="0" max="64" min="38" style="55" width="8"/>
    <col collapsed="false" customWidth="false" hidden="true" outlineLevel="0" max="65" min="65" style="55" width="9.15"/>
  </cols>
  <sheetData>
    <row r="1" s="160" customFormat="true" ht="11.25" hidden="true" customHeight="true" outlineLevel="0" collapsed="false">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160" t="s">
        <v>14</v>
      </c>
    </row>
    <row r="2" s="251" customFormat="true" ht="11.25" hidden="true" customHeight="true" outlineLevel="0" collapsed="false">
      <c r="L2" s="251" t="s">
        <v>276</v>
      </c>
      <c r="M2" s="251" t="s">
        <v>277</v>
      </c>
      <c r="R2" s="251" t="s">
        <v>278</v>
      </c>
      <c r="S2" s="251" t="s">
        <v>277</v>
      </c>
      <c r="X2" s="251" t="s">
        <v>276</v>
      </c>
      <c r="Y2" s="251" t="s">
        <v>277</v>
      </c>
      <c r="AD2" s="251" t="s">
        <v>276</v>
      </c>
      <c r="AE2" s="251" t="s">
        <v>277</v>
      </c>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1" t="n">
        <v>0</v>
      </c>
    </row>
    <row r="3" s="253" customFormat="true" ht="11.25" hidden="false" customHeight="true" outlineLevel="0" collapsed="false">
      <c r="AJ3" s="55"/>
      <c r="AK3" s="250"/>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253" t="n">
        <v>11</v>
      </c>
    </row>
    <row r="4" s="133" customFormat="true" ht="34.5" hidden="false" customHeight="true" outlineLevel="0" collapsed="false">
      <c r="A4" s="48"/>
      <c r="B4" s="42"/>
      <c r="C4" s="121"/>
      <c r="D4" s="254" t="s">
        <v>279</v>
      </c>
      <c r="E4" s="254"/>
      <c r="F4" s="254"/>
      <c r="G4" s="254"/>
      <c r="H4" s="254"/>
      <c r="I4" s="254"/>
      <c r="J4" s="254"/>
      <c r="K4" s="255"/>
      <c r="T4" s="256"/>
      <c r="AJ4" s="257"/>
      <c r="AK4" s="258"/>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133" t="n">
        <v>33</v>
      </c>
    </row>
    <row r="5" s="133" customFormat="true" ht="14.25" hidden="false" customHeight="true" outlineLevel="0" collapsed="false">
      <c r="A5" s="48"/>
      <c r="B5" s="42"/>
      <c r="C5" s="121"/>
      <c r="D5" s="259" t="str">
        <f aca="false">IF(org=0,"Не определено",org)</f>
        <v>Филиал ПАО "ОГК-2" - Серовская ГРЭС, г. Серов</v>
      </c>
      <c r="E5" s="259"/>
      <c r="F5" s="259"/>
      <c r="G5" s="259"/>
      <c r="H5" s="259"/>
      <c r="I5" s="259"/>
      <c r="J5" s="259"/>
      <c r="K5" s="255"/>
      <c r="T5" s="256"/>
      <c r="AJ5" s="257"/>
      <c r="AK5" s="258"/>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133" t="n">
        <v>14</v>
      </c>
    </row>
    <row r="6" s="133" customFormat="true" ht="14.25" hidden="false" customHeight="true" outlineLevel="0" collapsed="false">
      <c r="A6" s="48"/>
      <c r="B6" s="42"/>
      <c r="C6" s="121"/>
      <c r="D6" s="255"/>
      <c r="E6" s="255"/>
      <c r="F6" s="255"/>
      <c r="G6" s="255"/>
      <c r="H6" s="255"/>
      <c r="I6" s="255"/>
      <c r="J6" s="255"/>
      <c r="K6" s="255"/>
      <c r="T6" s="256"/>
      <c r="AJ6" s="257"/>
      <c r="AK6" s="258"/>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133" t="n">
        <v>14</v>
      </c>
    </row>
    <row r="7" s="160" customFormat="true" ht="0.75" hidden="false" customHeight="true" outlineLevel="0" collapsed="false">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160" t="n">
        <v>1</v>
      </c>
    </row>
    <row r="8" customFormat="false" ht="33.75" hidden="false" customHeight="true" outlineLevel="0" collapsed="false">
      <c r="D8" s="260" t="s">
        <v>86</v>
      </c>
      <c r="E8" s="260" t="s">
        <v>103</v>
      </c>
      <c r="F8" s="260" t="s">
        <v>121</v>
      </c>
      <c r="G8" s="260"/>
      <c r="H8" s="138" t="s">
        <v>86</v>
      </c>
      <c r="I8" s="138"/>
      <c r="J8" s="260" t="s">
        <v>122</v>
      </c>
      <c r="K8" s="261"/>
      <c r="L8" s="260" t="s">
        <v>280</v>
      </c>
      <c r="M8" s="260"/>
      <c r="N8" s="260"/>
      <c r="O8" s="260"/>
      <c r="P8" s="260"/>
      <c r="Q8" s="262"/>
      <c r="R8" s="263" t="s">
        <v>281</v>
      </c>
      <c r="S8" s="263"/>
      <c r="T8" s="263"/>
      <c r="U8" s="263"/>
      <c r="V8" s="263"/>
      <c r="W8" s="262"/>
      <c r="X8" s="138" t="s">
        <v>282</v>
      </c>
      <c r="Y8" s="138"/>
      <c r="Z8" s="138"/>
      <c r="AA8" s="138"/>
      <c r="AB8" s="138"/>
      <c r="AC8" s="260"/>
      <c r="AD8" s="263" t="s">
        <v>283</v>
      </c>
      <c r="AE8" s="263"/>
      <c r="AF8" s="263"/>
      <c r="AG8" s="263"/>
      <c r="AH8" s="263"/>
      <c r="AI8" s="260" t="s">
        <v>284</v>
      </c>
      <c r="BM8" s="55" t="n">
        <v>32</v>
      </c>
    </row>
    <row r="9" customFormat="false" ht="23.25" hidden="false" customHeight="true" outlineLevel="0" collapsed="false">
      <c r="D9" s="260"/>
      <c r="E9" s="260"/>
      <c r="F9" s="260" t="s">
        <v>87</v>
      </c>
      <c r="G9" s="260" t="s">
        <v>127</v>
      </c>
      <c r="H9" s="138"/>
      <c r="I9" s="138"/>
      <c r="J9" s="260"/>
      <c r="K9" s="264"/>
      <c r="L9" s="263" t="s">
        <v>285</v>
      </c>
      <c r="M9" s="263"/>
      <c r="N9" s="260" t="s">
        <v>86</v>
      </c>
      <c r="O9" s="260"/>
      <c r="P9" s="260" t="s">
        <v>128</v>
      </c>
      <c r="Q9" s="261"/>
      <c r="R9" s="263" t="s">
        <v>285</v>
      </c>
      <c r="S9" s="263"/>
      <c r="T9" s="260" t="s">
        <v>86</v>
      </c>
      <c r="U9" s="260"/>
      <c r="V9" s="260" t="s">
        <v>128</v>
      </c>
      <c r="W9" s="261"/>
      <c r="X9" s="263" t="s">
        <v>285</v>
      </c>
      <c r="Y9" s="263"/>
      <c r="Z9" s="260" t="s">
        <v>86</v>
      </c>
      <c r="AA9" s="260"/>
      <c r="AB9" s="260" t="s">
        <v>286</v>
      </c>
      <c r="AC9" s="261"/>
      <c r="AD9" s="263" t="s">
        <v>285</v>
      </c>
      <c r="AE9" s="263"/>
      <c r="AF9" s="260" t="s">
        <v>86</v>
      </c>
      <c r="AG9" s="260"/>
      <c r="AH9" s="262" t="s">
        <v>286</v>
      </c>
      <c r="AI9" s="260"/>
      <c r="BM9" s="55" t="n">
        <v>22</v>
      </c>
    </row>
    <row r="10" customFormat="false" ht="24" hidden="false" customHeight="true" outlineLevel="0" collapsed="false">
      <c r="D10" s="260"/>
      <c r="E10" s="260"/>
      <c r="F10" s="260"/>
      <c r="G10" s="260"/>
      <c r="H10" s="138"/>
      <c r="I10" s="138"/>
      <c r="J10" s="260"/>
      <c r="K10" s="264"/>
      <c r="L10" s="260" t="s">
        <v>287</v>
      </c>
      <c r="M10" s="262" t="s">
        <v>288</v>
      </c>
      <c r="N10" s="260"/>
      <c r="O10" s="260"/>
      <c r="P10" s="260"/>
      <c r="Q10" s="261"/>
      <c r="R10" s="260" t="s">
        <v>287</v>
      </c>
      <c r="S10" s="262" t="s">
        <v>288</v>
      </c>
      <c r="T10" s="260"/>
      <c r="U10" s="260"/>
      <c r="V10" s="260"/>
      <c r="W10" s="261"/>
      <c r="X10" s="260" t="s">
        <v>287</v>
      </c>
      <c r="Y10" s="262" t="s">
        <v>288</v>
      </c>
      <c r="Z10" s="260"/>
      <c r="AA10" s="260"/>
      <c r="AB10" s="260"/>
      <c r="AC10" s="261"/>
      <c r="AD10" s="260" t="s">
        <v>287</v>
      </c>
      <c r="AE10" s="262" t="s">
        <v>288</v>
      </c>
      <c r="AF10" s="260"/>
      <c r="AG10" s="260"/>
      <c r="AH10" s="262"/>
      <c r="AI10" s="260"/>
      <c r="AK10" s="136" t="s">
        <v>289</v>
      </c>
      <c r="AL10" s="136" t="s">
        <v>129</v>
      </c>
      <c r="BM10" s="55" t="n">
        <v>23</v>
      </c>
    </row>
    <row r="11" customFormat="false" ht="15" hidden="false" customHeight="true" outlineLevel="0" collapsed="false">
      <c r="D11" s="265" t="s">
        <v>107</v>
      </c>
      <c r="E11" s="266" t="s">
        <v>290</v>
      </c>
      <c r="F11" s="266" t="s">
        <v>291</v>
      </c>
      <c r="G11" s="206" t="s">
        <v>19</v>
      </c>
      <c r="H11" s="267"/>
      <c r="I11" s="268"/>
      <c r="J11" s="233"/>
      <c r="K11" s="233"/>
      <c r="L11" s="234"/>
      <c r="M11" s="234"/>
      <c r="N11" s="269"/>
      <c r="O11" s="234"/>
      <c r="P11" s="233"/>
      <c r="Q11" s="233"/>
      <c r="R11" s="234"/>
      <c r="S11" s="234"/>
      <c r="T11" s="270"/>
      <c r="U11" s="234"/>
      <c r="V11" s="233"/>
      <c r="W11" s="234"/>
      <c r="X11" s="234"/>
      <c r="Y11" s="234"/>
      <c r="Z11" s="269"/>
      <c r="AA11" s="234"/>
      <c r="AB11" s="233"/>
      <c r="AC11" s="271"/>
      <c r="AD11" s="234"/>
      <c r="AE11" s="234"/>
      <c r="AF11" s="234"/>
      <c r="AG11" s="234"/>
      <c r="AH11" s="269"/>
      <c r="AI11" s="237"/>
      <c r="BM11" s="55" t="n">
        <v>14</v>
      </c>
    </row>
    <row r="12" customFormat="false" ht="14.25" hidden="false" customHeight="true" outlineLevel="0" collapsed="false">
      <c r="D12" s="265"/>
      <c r="E12" s="266"/>
      <c r="F12" s="266"/>
      <c r="G12" s="206"/>
      <c r="H12" s="272"/>
      <c r="I12" s="268"/>
      <c r="J12" s="233"/>
      <c r="K12" s="77"/>
      <c r="L12" s="234"/>
      <c r="M12" s="234"/>
      <c r="N12" s="52"/>
      <c r="O12" s="234"/>
      <c r="P12" s="233"/>
      <c r="Q12" s="273"/>
      <c r="R12" s="234"/>
      <c r="S12" s="234"/>
      <c r="T12" s="274"/>
      <c r="U12" s="234"/>
      <c r="V12" s="233"/>
      <c r="W12" s="118"/>
      <c r="X12" s="234"/>
      <c r="Y12" s="234"/>
      <c r="Z12" s="52"/>
      <c r="AA12" s="234"/>
      <c r="AB12" s="233"/>
      <c r="AC12" s="77"/>
      <c r="AD12" s="234"/>
      <c r="AE12" s="234"/>
      <c r="AF12" s="239"/>
      <c r="AG12" s="239"/>
      <c r="AH12" s="240"/>
      <c r="AI12" s="240"/>
      <c r="BM12" s="55" t="n">
        <v>14</v>
      </c>
    </row>
    <row r="13" customFormat="false" ht="14.25" hidden="false" customHeight="true" outlineLevel="0" collapsed="false">
      <c r="D13" s="265"/>
      <c r="E13" s="266"/>
      <c r="F13" s="266"/>
      <c r="G13" s="206"/>
      <c r="H13" s="272"/>
      <c r="I13" s="268"/>
      <c r="J13" s="233"/>
      <c r="K13" s="77"/>
      <c r="L13" s="234"/>
      <c r="M13" s="234"/>
      <c r="N13" s="52"/>
      <c r="O13" s="234"/>
      <c r="P13" s="233"/>
      <c r="Q13" s="273"/>
      <c r="R13" s="234"/>
      <c r="S13" s="234"/>
      <c r="T13" s="274"/>
      <c r="U13" s="234"/>
      <c r="V13" s="233"/>
      <c r="W13" s="118"/>
      <c r="X13" s="234"/>
      <c r="Y13" s="234"/>
      <c r="Z13" s="118"/>
      <c r="AA13" s="239"/>
      <c r="AB13" s="240"/>
      <c r="AC13" s="240"/>
      <c r="AD13" s="240"/>
      <c r="AE13" s="240"/>
      <c r="AF13" s="240"/>
      <c r="AG13" s="240"/>
      <c r="AH13" s="240"/>
      <c r="AI13" s="240"/>
      <c r="BM13" s="55" t="n">
        <v>14</v>
      </c>
    </row>
    <row r="14" customFormat="false" ht="14.25" hidden="false" customHeight="true" outlineLevel="0" collapsed="false">
      <c r="D14" s="265"/>
      <c r="E14" s="266"/>
      <c r="F14" s="266"/>
      <c r="G14" s="206"/>
      <c r="H14" s="272"/>
      <c r="I14" s="268"/>
      <c r="J14" s="233"/>
      <c r="K14" s="77"/>
      <c r="L14" s="234"/>
      <c r="M14" s="234"/>
      <c r="N14" s="52"/>
      <c r="O14" s="234"/>
      <c r="P14" s="233"/>
      <c r="Q14" s="273"/>
      <c r="R14" s="234"/>
      <c r="S14" s="234"/>
      <c r="T14" s="275"/>
      <c r="U14" s="276"/>
      <c r="V14" s="240"/>
      <c r="W14" s="240"/>
      <c r="X14" s="240"/>
      <c r="Y14" s="240"/>
      <c r="Z14" s="240"/>
      <c r="AA14" s="240"/>
      <c r="AB14" s="240"/>
      <c r="AC14" s="240"/>
      <c r="AD14" s="240"/>
      <c r="AE14" s="240"/>
      <c r="AF14" s="240"/>
      <c r="AG14" s="240"/>
      <c r="AH14" s="240"/>
      <c r="AI14" s="240"/>
      <c r="BM14" s="55" t="n">
        <v>14</v>
      </c>
    </row>
    <row r="15" customFormat="false" ht="11.25" hidden="false" customHeight="true" outlineLevel="0" collapsed="false">
      <c r="D15" s="265"/>
      <c r="E15" s="266"/>
      <c r="F15" s="266"/>
      <c r="G15" s="206"/>
      <c r="H15" s="277"/>
      <c r="I15" s="268"/>
      <c r="J15" s="233"/>
      <c r="K15" s="77"/>
      <c r="L15" s="234"/>
      <c r="M15" s="234"/>
      <c r="N15" s="239"/>
      <c r="O15" s="239"/>
      <c r="P15" s="240"/>
      <c r="Q15" s="240"/>
      <c r="R15" s="240"/>
      <c r="S15" s="240"/>
      <c r="T15" s="240"/>
      <c r="U15" s="240"/>
      <c r="V15" s="240"/>
      <c r="W15" s="240"/>
      <c r="X15" s="240"/>
      <c r="Y15" s="240"/>
      <c r="Z15" s="240"/>
      <c r="AA15" s="240"/>
      <c r="AB15" s="240"/>
      <c r="AC15" s="240"/>
      <c r="AD15" s="240"/>
      <c r="AE15" s="240"/>
      <c r="AF15" s="240"/>
      <c r="AG15" s="240"/>
      <c r="AH15" s="240"/>
      <c r="AI15" s="240"/>
      <c r="BM15" s="55" t="n">
        <v>11</v>
      </c>
    </row>
    <row r="16" s="253" customFormat="true" ht="11.25" hidden="false" customHeight="true" outlineLevel="0" collapsed="false">
      <c r="D16" s="265"/>
      <c r="E16" s="266"/>
      <c r="F16" s="266"/>
      <c r="G16" s="206"/>
      <c r="H16" s="278"/>
      <c r="I16" s="279"/>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55"/>
      <c r="AK16" s="250"/>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253" t="n">
        <v>11</v>
      </c>
    </row>
    <row r="17" customFormat="false" ht="15" hidden="false" customHeight="true" outlineLevel="0" collapsed="false">
      <c r="D17" s="265" t="s">
        <v>108</v>
      </c>
      <c r="E17" s="266" t="s">
        <v>290</v>
      </c>
      <c r="F17" s="266" t="s">
        <v>292</v>
      </c>
      <c r="G17" s="206" t="s">
        <v>19</v>
      </c>
      <c r="H17" s="267"/>
      <c r="I17" s="268"/>
      <c r="J17" s="233"/>
      <c r="K17" s="233"/>
      <c r="L17" s="234"/>
      <c r="M17" s="234"/>
      <c r="N17" s="269"/>
      <c r="O17" s="234"/>
      <c r="P17" s="233"/>
      <c r="Q17" s="233"/>
      <c r="R17" s="234"/>
      <c r="S17" s="234"/>
      <c r="T17" s="270"/>
      <c r="U17" s="234"/>
      <c r="V17" s="233"/>
      <c r="W17" s="234"/>
      <c r="X17" s="234"/>
      <c r="Y17" s="234"/>
      <c r="Z17" s="269"/>
      <c r="AA17" s="234"/>
      <c r="AB17" s="233"/>
      <c r="AC17" s="271"/>
      <c r="AD17" s="234"/>
      <c r="AE17" s="234"/>
      <c r="AF17" s="234"/>
      <c r="AG17" s="234"/>
      <c r="AH17" s="269"/>
      <c r="AI17" s="237"/>
      <c r="BM17" s="55" t="n">
        <v>14</v>
      </c>
    </row>
    <row r="18" customFormat="false" ht="14.25" hidden="false" customHeight="true" outlineLevel="0" collapsed="false">
      <c r="D18" s="265"/>
      <c r="E18" s="266"/>
      <c r="F18" s="266"/>
      <c r="G18" s="206"/>
      <c r="H18" s="272"/>
      <c r="I18" s="268"/>
      <c r="J18" s="233"/>
      <c r="K18" s="77"/>
      <c r="L18" s="234"/>
      <c r="M18" s="234"/>
      <c r="N18" s="52"/>
      <c r="O18" s="234"/>
      <c r="P18" s="233"/>
      <c r="Q18" s="273"/>
      <c r="R18" s="234"/>
      <c r="S18" s="234"/>
      <c r="T18" s="274"/>
      <c r="U18" s="234"/>
      <c r="V18" s="233"/>
      <c r="W18" s="118"/>
      <c r="X18" s="234"/>
      <c r="Y18" s="234"/>
      <c r="Z18" s="52"/>
      <c r="AA18" s="234"/>
      <c r="AB18" s="233"/>
      <c r="AC18" s="77"/>
      <c r="AD18" s="234"/>
      <c r="AE18" s="234"/>
      <c r="AF18" s="239"/>
      <c r="AG18" s="239"/>
      <c r="AH18" s="240"/>
      <c r="AI18" s="240"/>
      <c r="BM18" s="55" t="n">
        <v>14</v>
      </c>
    </row>
    <row r="19" customFormat="false" ht="14.25" hidden="false" customHeight="true" outlineLevel="0" collapsed="false">
      <c r="D19" s="265"/>
      <c r="E19" s="266"/>
      <c r="F19" s="266"/>
      <c r="G19" s="206"/>
      <c r="H19" s="272"/>
      <c r="I19" s="268"/>
      <c r="J19" s="233"/>
      <c r="K19" s="77"/>
      <c r="L19" s="234"/>
      <c r="M19" s="234"/>
      <c r="N19" s="52"/>
      <c r="O19" s="234"/>
      <c r="P19" s="233"/>
      <c r="Q19" s="273"/>
      <c r="R19" s="234"/>
      <c r="S19" s="234"/>
      <c r="T19" s="274"/>
      <c r="U19" s="234"/>
      <c r="V19" s="233"/>
      <c r="W19" s="118"/>
      <c r="X19" s="234"/>
      <c r="Y19" s="234"/>
      <c r="Z19" s="118"/>
      <c r="AA19" s="239"/>
      <c r="AB19" s="240"/>
      <c r="AC19" s="240"/>
      <c r="AD19" s="240"/>
      <c r="AE19" s="240"/>
      <c r="AF19" s="240"/>
      <c r="AG19" s="240"/>
      <c r="AH19" s="240"/>
      <c r="AI19" s="240"/>
      <c r="BM19" s="55" t="n">
        <v>14</v>
      </c>
    </row>
    <row r="20" customFormat="false" ht="14.25" hidden="false" customHeight="true" outlineLevel="0" collapsed="false">
      <c r="D20" s="265"/>
      <c r="E20" s="266"/>
      <c r="F20" s="266"/>
      <c r="G20" s="206"/>
      <c r="H20" s="272"/>
      <c r="I20" s="268"/>
      <c r="J20" s="233"/>
      <c r="K20" s="77"/>
      <c r="L20" s="234"/>
      <c r="M20" s="234"/>
      <c r="N20" s="52"/>
      <c r="O20" s="234"/>
      <c r="P20" s="233"/>
      <c r="Q20" s="273"/>
      <c r="R20" s="234"/>
      <c r="S20" s="234"/>
      <c r="T20" s="275"/>
      <c r="U20" s="276"/>
      <c r="V20" s="240"/>
      <c r="W20" s="240"/>
      <c r="X20" s="240"/>
      <c r="Y20" s="240"/>
      <c r="Z20" s="240"/>
      <c r="AA20" s="240"/>
      <c r="AB20" s="240"/>
      <c r="AC20" s="240"/>
      <c r="AD20" s="240"/>
      <c r="AE20" s="240"/>
      <c r="AF20" s="240"/>
      <c r="AG20" s="240"/>
      <c r="AH20" s="240"/>
      <c r="AI20" s="240"/>
      <c r="BM20" s="55" t="n">
        <v>14</v>
      </c>
    </row>
    <row r="21" customFormat="false" ht="11.25" hidden="false" customHeight="true" outlineLevel="0" collapsed="false">
      <c r="D21" s="265"/>
      <c r="E21" s="266"/>
      <c r="F21" s="266"/>
      <c r="G21" s="206"/>
      <c r="H21" s="277"/>
      <c r="I21" s="268"/>
      <c r="J21" s="233"/>
      <c r="K21" s="77"/>
      <c r="L21" s="234"/>
      <c r="M21" s="234"/>
      <c r="N21" s="239"/>
      <c r="O21" s="239"/>
      <c r="P21" s="240"/>
      <c r="Q21" s="240"/>
      <c r="R21" s="240"/>
      <c r="S21" s="240"/>
      <c r="T21" s="240"/>
      <c r="U21" s="240"/>
      <c r="V21" s="240"/>
      <c r="W21" s="240"/>
      <c r="X21" s="240"/>
      <c r="Y21" s="240"/>
      <c r="Z21" s="240"/>
      <c r="AA21" s="240"/>
      <c r="AB21" s="240"/>
      <c r="AC21" s="240"/>
      <c r="AD21" s="240"/>
      <c r="AE21" s="240"/>
      <c r="AF21" s="240"/>
      <c r="AG21" s="240"/>
      <c r="AH21" s="240"/>
      <c r="AI21" s="240"/>
      <c r="BM21" s="55" t="n">
        <v>11</v>
      </c>
    </row>
    <row r="22" s="253" customFormat="true" ht="11.25" hidden="false" customHeight="true" outlineLevel="0" collapsed="false">
      <c r="D22" s="265"/>
      <c r="E22" s="266"/>
      <c r="F22" s="266"/>
      <c r="G22" s="206"/>
      <c r="H22" s="278"/>
      <c r="I22" s="279"/>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55"/>
      <c r="AK22" s="250"/>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253" t="n">
        <v>11</v>
      </c>
    </row>
    <row r="23" customFormat="false" ht="15" hidden="false" customHeight="true" outlineLevel="0" collapsed="false">
      <c r="D23" s="265" t="s">
        <v>88</v>
      </c>
      <c r="E23" s="266" t="s">
        <v>290</v>
      </c>
      <c r="F23" s="266" t="s">
        <v>293</v>
      </c>
      <c r="G23" s="206" t="s">
        <v>19</v>
      </c>
      <c r="H23" s="267"/>
      <c r="I23" s="268"/>
      <c r="J23" s="233"/>
      <c r="K23" s="233"/>
      <c r="L23" s="234"/>
      <c r="M23" s="234"/>
      <c r="N23" s="269"/>
      <c r="O23" s="234"/>
      <c r="P23" s="233"/>
      <c r="Q23" s="233"/>
      <c r="R23" s="234"/>
      <c r="S23" s="234"/>
      <c r="T23" s="270"/>
      <c r="U23" s="234"/>
      <c r="V23" s="233"/>
      <c r="W23" s="234"/>
      <c r="X23" s="234"/>
      <c r="Y23" s="234"/>
      <c r="Z23" s="269"/>
      <c r="AA23" s="234"/>
      <c r="AB23" s="233"/>
      <c r="AC23" s="271"/>
      <c r="AD23" s="234"/>
      <c r="AE23" s="234"/>
      <c r="AF23" s="234"/>
      <c r="AG23" s="234"/>
      <c r="AH23" s="269"/>
      <c r="AI23" s="237"/>
      <c r="AK23" s="250" t="s">
        <v>96</v>
      </c>
      <c r="BM23" s="55" t="n">
        <v>14</v>
      </c>
    </row>
    <row r="24" customFormat="false" ht="14.25" hidden="false" customHeight="true" outlineLevel="0" collapsed="false">
      <c r="D24" s="265"/>
      <c r="E24" s="266"/>
      <c r="F24" s="266"/>
      <c r="G24" s="206"/>
      <c r="H24" s="272"/>
      <c r="I24" s="268"/>
      <c r="J24" s="233"/>
      <c r="K24" s="77"/>
      <c r="L24" s="234"/>
      <c r="M24" s="234"/>
      <c r="N24" s="52"/>
      <c r="O24" s="234"/>
      <c r="P24" s="233"/>
      <c r="Q24" s="273"/>
      <c r="R24" s="234"/>
      <c r="S24" s="234"/>
      <c r="T24" s="274"/>
      <c r="U24" s="234"/>
      <c r="V24" s="233"/>
      <c r="W24" s="118"/>
      <c r="X24" s="234"/>
      <c r="Y24" s="234"/>
      <c r="Z24" s="52"/>
      <c r="AA24" s="234"/>
      <c r="AB24" s="233"/>
      <c r="AC24" s="77"/>
      <c r="AD24" s="234"/>
      <c r="AE24" s="234"/>
      <c r="AF24" s="239"/>
      <c r="AG24" s="239"/>
      <c r="AH24" s="240"/>
      <c r="AI24" s="240"/>
      <c r="BM24" s="55" t="n">
        <v>14</v>
      </c>
    </row>
    <row r="25" customFormat="false" ht="14.25" hidden="false" customHeight="true" outlineLevel="0" collapsed="false">
      <c r="D25" s="265"/>
      <c r="E25" s="266"/>
      <c r="F25" s="266"/>
      <c r="G25" s="206"/>
      <c r="H25" s="272"/>
      <c r="I25" s="268"/>
      <c r="J25" s="233"/>
      <c r="K25" s="77"/>
      <c r="L25" s="234"/>
      <c r="M25" s="234"/>
      <c r="N25" s="52"/>
      <c r="O25" s="234"/>
      <c r="P25" s="233"/>
      <c r="Q25" s="273"/>
      <c r="R25" s="234"/>
      <c r="S25" s="234"/>
      <c r="T25" s="274"/>
      <c r="U25" s="234"/>
      <c r="V25" s="233"/>
      <c r="W25" s="118"/>
      <c r="X25" s="234"/>
      <c r="Y25" s="234"/>
      <c r="Z25" s="118"/>
      <c r="AA25" s="239"/>
      <c r="AB25" s="240"/>
      <c r="AC25" s="240"/>
      <c r="AD25" s="240"/>
      <c r="AE25" s="240"/>
      <c r="AF25" s="240"/>
      <c r="AG25" s="240"/>
      <c r="AH25" s="240"/>
      <c r="AI25" s="240"/>
      <c r="BM25" s="55" t="n">
        <v>14</v>
      </c>
    </row>
    <row r="26" customFormat="false" ht="14.25" hidden="false" customHeight="true" outlineLevel="0" collapsed="false">
      <c r="D26" s="265"/>
      <c r="E26" s="266"/>
      <c r="F26" s="266"/>
      <c r="G26" s="206"/>
      <c r="H26" s="272"/>
      <c r="I26" s="268"/>
      <c r="J26" s="233"/>
      <c r="K26" s="77"/>
      <c r="L26" s="234"/>
      <c r="M26" s="234"/>
      <c r="N26" s="52"/>
      <c r="O26" s="234"/>
      <c r="P26" s="233"/>
      <c r="Q26" s="273"/>
      <c r="R26" s="234"/>
      <c r="S26" s="234"/>
      <c r="T26" s="275"/>
      <c r="U26" s="276"/>
      <c r="V26" s="240"/>
      <c r="W26" s="240"/>
      <c r="X26" s="240"/>
      <c r="Y26" s="240"/>
      <c r="Z26" s="240"/>
      <c r="AA26" s="240"/>
      <c r="AB26" s="240"/>
      <c r="AC26" s="240"/>
      <c r="AD26" s="240"/>
      <c r="AE26" s="240"/>
      <c r="AF26" s="240"/>
      <c r="AG26" s="240"/>
      <c r="AH26" s="240"/>
      <c r="AI26" s="240"/>
      <c r="BM26" s="55" t="n">
        <v>14</v>
      </c>
    </row>
    <row r="27" customFormat="false" ht="11.25" hidden="false" customHeight="true" outlineLevel="0" collapsed="false">
      <c r="D27" s="265"/>
      <c r="E27" s="266"/>
      <c r="F27" s="266"/>
      <c r="G27" s="206"/>
      <c r="H27" s="277"/>
      <c r="I27" s="268"/>
      <c r="J27" s="233"/>
      <c r="K27" s="77"/>
      <c r="L27" s="234"/>
      <c r="M27" s="234"/>
      <c r="N27" s="239"/>
      <c r="O27" s="239"/>
      <c r="P27" s="240"/>
      <c r="Q27" s="240"/>
      <c r="R27" s="240"/>
      <c r="S27" s="240"/>
      <c r="T27" s="240"/>
      <c r="U27" s="240"/>
      <c r="V27" s="240"/>
      <c r="W27" s="240"/>
      <c r="X27" s="240"/>
      <c r="Y27" s="240"/>
      <c r="Z27" s="240"/>
      <c r="AA27" s="240"/>
      <c r="AB27" s="240"/>
      <c r="AC27" s="240"/>
      <c r="AD27" s="240"/>
      <c r="AE27" s="240"/>
      <c r="AF27" s="240"/>
      <c r="AG27" s="240"/>
      <c r="AH27" s="240"/>
      <c r="AI27" s="240"/>
      <c r="BM27" s="55" t="n">
        <v>11</v>
      </c>
    </row>
    <row r="28" s="253" customFormat="true" ht="11.25" hidden="false" customHeight="true" outlineLevel="0" collapsed="false">
      <c r="D28" s="265"/>
      <c r="E28" s="266"/>
      <c r="F28" s="266"/>
      <c r="G28" s="206"/>
      <c r="H28" s="278"/>
      <c r="I28" s="279"/>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55"/>
      <c r="AK28" s="250"/>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253" t="n">
        <v>11</v>
      </c>
    </row>
    <row r="29" customFormat="false" ht="15" hidden="false" customHeight="true" outlineLevel="0" collapsed="false">
      <c r="D29" s="265" t="s">
        <v>89</v>
      </c>
      <c r="E29" s="266" t="s">
        <v>290</v>
      </c>
      <c r="F29" s="266" t="s">
        <v>294</v>
      </c>
      <c r="G29" s="206" t="s">
        <v>19</v>
      </c>
      <c r="H29" s="267"/>
      <c r="I29" s="268"/>
      <c r="J29" s="233"/>
      <c r="K29" s="233"/>
      <c r="L29" s="234"/>
      <c r="M29" s="234"/>
      <c r="N29" s="269"/>
      <c r="O29" s="234"/>
      <c r="P29" s="233"/>
      <c r="Q29" s="233"/>
      <c r="R29" s="234"/>
      <c r="S29" s="234"/>
      <c r="T29" s="270"/>
      <c r="U29" s="234"/>
      <c r="V29" s="233"/>
      <c r="W29" s="234"/>
      <c r="X29" s="234"/>
      <c r="Y29" s="234"/>
      <c r="Z29" s="269"/>
      <c r="AA29" s="234"/>
      <c r="AB29" s="233"/>
      <c r="AC29" s="271"/>
      <c r="AD29" s="234"/>
      <c r="AE29" s="234"/>
      <c r="AF29" s="234"/>
      <c r="AG29" s="234"/>
      <c r="AH29" s="269"/>
      <c r="AI29" s="237"/>
      <c r="BM29" s="55" t="n">
        <v>14</v>
      </c>
    </row>
    <row r="30" customFormat="false" ht="14.25" hidden="false" customHeight="true" outlineLevel="0" collapsed="false">
      <c r="D30" s="265"/>
      <c r="E30" s="266"/>
      <c r="F30" s="266"/>
      <c r="G30" s="206"/>
      <c r="H30" s="272"/>
      <c r="I30" s="268"/>
      <c r="J30" s="233"/>
      <c r="K30" s="77"/>
      <c r="L30" s="234"/>
      <c r="M30" s="234"/>
      <c r="N30" s="52"/>
      <c r="O30" s="234"/>
      <c r="P30" s="233"/>
      <c r="Q30" s="273"/>
      <c r="R30" s="234"/>
      <c r="S30" s="234"/>
      <c r="T30" s="274"/>
      <c r="U30" s="234"/>
      <c r="V30" s="233"/>
      <c r="W30" s="118"/>
      <c r="X30" s="234"/>
      <c r="Y30" s="234"/>
      <c r="Z30" s="52"/>
      <c r="AA30" s="234"/>
      <c r="AB30" s="233"/>
      <c r="AC30" s="77"/>
      <c r="AD30" s="234"/>
      <c r="AE30" s="234"/>
      <c r="AF30" s="239"/>
      <c r="AG30" s="239"/>
      <c r="AH30" s="240"/>
      <c r="AI30" s="240"/>
      <c r="BM30" s="55" t="n">
        <v>14</v>
      </c>
    </row>
    <row r="31" customFormat="false" ht="14.25" hidden="false" customHeight="true" outlineLevel="0" collapsed="false">
      <c r="D31" s="265"/>
      <c r="E31" s="266"/>
      <c r="F31" s="266"/>
      <c r="G31" s="206"/>
      <c r="H31" s="272"/>
      <c r="I31" s="268"/>
      <c r="J31" s="233"/>
      <c r="K31" s="77"/>
      <c r="L31" s="234"/>
      <c r="M31" s="234"/>
      <c r="N31" s="52"/>
      <c r="O31" s="234"/>
      <c r="P31" s="233"/>
      <c r="Q31" s="273"/>
      <c r="R31" s="234"/>
      <c r="S31" s="234"/>
      <c r="T31" s="274"/>
      <c r="U31" s="234"/>
      <c r="V31" s="233"/>
      <c r="W31" s="118"/>
      <c r="X31" s="234"/>
      <c r="Y31" s="234"/>
      <c r="Z31" s="118"/>
      <c r="AA31" s="239"/>
      <c r="AB31" s="240"/>
      <c r="AC31" s="240"/>
      <c r="AD31" s="240"/>
      <c r="AE31" s="240"/>
      <c r="AF31" s="240"/>
      <c r="AG31" s="240"/>
      <c r="AH31" s="240"/>
      <c r="AI31" s="240"/>
      <c r="BM31" s="55" t="n">
        <v>14</v>
      </c>
    </row>
    <row r="32" customFormat="false" ht="14.25" hidden="false" customHeight="true" outlineLevel="0" collapsed="false">
      <c r="D32" s="265"/>
      <c r="E32" s="266"/>
      <c r="F32" s="266"/>
      <c r="G32" s="206"/>
      <c r="H32" s="272"/>
      <c r="I32" s="268"/>
      <c r="J32" s="233"/>
      <c r="K32" s="77"/>
      <c r="L32" s="234"/>
      <c r="M32" s="234"/>
      <c r="N32" s="52"/>
      <c r="O32" s="234"/>
      <c r="P32" s="233"/>
      <c r="Q32" s="273"/>
      <c r="R32" s="234"/>
      <c r="S32" s="234"/>
      <c r="T32" s="275"/>
      <c r="U32" s="276"/>
      <c r="V32" s="240"/>
      <c r="W32" s="240"/>
      <c r="X32" s="240"/>
      <c r="Y32" s="240"/>
      <c r="Z32" s="240"/>
      <c r="AA32" s="240"/>
      <c r="AB32" s="240"/>
      <c r="AC32" s="240"/>
      <c r="AD32" s="240"/>
      <c r="AE32" s="240"/>
      <c r="AF32" s="240"/>
      <c r="AG32" s="240"/>
      <c r="AH32" s="240"/>
      <c r="AI32" s="240"/>
      <c r="BM32" s="55" t="n">
        <v>14</v>
      </c>
    </row>
    <row r="33" customFormat="false" ht="11.25" hidden="false" customHeight="true" outlineLevel="0" collapsed="false">
      <c r="D33" s="265"/>
      <c r="E33" s="266"/>
      <c r="F33" s="266"/>
      <c r="G33" s="206"/>
      <c r="H33" s="277"/>
      <c r="I33" s="268"/>
      <c r="J33" s="233"/>
      <c r="K33" s="77"/>
      <c r="L33" s="234"/>
      <c r="M33" s="234"/>
      <c r="N33" s="239"/>
      <c r="O33" s="239"/>
      <c r="P33" s="240"/>
      <c r="Q33" s="240"/>
      <c r="R33" s="240"/>
      <c r="S33" s="240"/>
      <c r="T33" s="240"/>
      <c r="U33" s="240"/>
      <c r="V33" s="240"/>
      <c r="W33" s="240"/>
      <c r="X33" s="240"/>
      <c r="Y33" s="240"/>
      <c r="Z33" s="240"/>
      <c r="AA33" s="240"/>
      <c r="AB33" s="240"/>
      <c r="AC33" s="240"/>
      <c r="AD33" s="240"/>
      <c r="AE33" s="240"/>
      <c r="AF33" s="240"/>
      <c r="AG33" s="240"/>
      <c r="AH33" s="240"/>
      <c r="AI33" s="240"/>
      <c r="BM33" s="55" t="n">
        <v>11</v>
      </c>
    </row>
    <row r="34" s="253" customFormat="true" ht="11.25" hidden="false" customHeight="true" outlineLevel="0" collapsed="false">
      <c r="D34" s="265"/>
      <c r="E34" s="266"/>
      <c r="F34" s="266"/>
      <c r="G34" s="206"/>
      <c r="H34" s="278"/>
      <c r="I34" s="279"/>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55"/>
      <c r="AK34" s="250"/>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253" t="n">
        <v>11</v>
      </c>
    </row>
    <row r="35" customFormat="false" ht="15" hidden="false" customHeight="true" outlineLevel="0" collapsed="false">
      <c r="D35" s="280" t="s">
        <v>109</v>
      </c>
      <c r="E35" s="281" t="s">
        <v>290</v>
      </c>
      <c r="F35" s="281" t="s">
        <v>295</v>
      </c>
      <c r="G35" s="206" t="s">
        <v>19</v>
      </c>
      <c r="H35" s="267"/>
      <c r="I35" s="268"/>
      <c r="J35" s="233"/>
      <c r="K35" s="233"/>
      <c r="L35" s="234"/>
      <c r="M35" s="234"/>
      <c r="N35" s="269"/>
      <c r="O35" s="234"/>
      <c r="P35" s="233"/>
      <c r="Q35" s="233"/>
      <c r="R35" s="234"/>
      <c r="S35" s="234"/>
      <c r="T35" s="270"/>
      <c r="U35" s="234"/>
      <c r="V35" s="233"/>
      <c r="W35" s="234"/>
      <c r="X35" s="234"/>
      <c r="Y35" s="234"/>
      <c r="Z35" s="269"/>
      <c r="AA35" s="234"/>
      <c r="AB35" s="233"/>
      <c r="AC35" s="271"/>
      <c r="AD35" s="234"/>
      <c r="AE35" s="234"/>
      <c r="AF35" s="234"/>
      <c r="AG35" s="234"/>
      <c r="AH35" s="269"/>
      <c r="AI35" s="237"/>
      <c r="BM35" s="55" t="n">
        <v>14</v>
      </c>
    </row>
    <row r="36" customFormat="false" ht="14.25" hidden="false" customHeight="true" outlineLevel="0" collapsed="false">
      <c r="D36" s="280"/>
      <c r="E36" s="281"/>
      <c r="F36" s="281"/>
      <c r="G36" s="206"/>
      <c r="H36" s="272"/>
      <c r="I36" s="268"/>
      <c r="J36" s="233"/>
      <c r="K36" s="77"/>
      <c r="L36" s="234"/>
      <c r="M36" s="234"/>
      <c r="N36" s="52"/>
      <c r="O36" s="234"/>
      <c r="P36" s="233"/>
      <c r="Q36" s="273"/>
      <c r="R36" s="234"/>
      <c r="S36" s="234"/>
      <c r="T36" s="274"/>
      <c r="U36" s="234"/>
      <c r="V36" s="233"/>
      <c r="W36" s="118"/>
      <c r="X36" s="234"/>
      <c r="Y36" s="234"/>
      <c r="Z36" s="52"/>
      <c r="AA36" s="234"/>
      <c r="AB36" s="233"/>
      <c r="AC36" s="77"/>
      <c r="AD36" s="234"/>
      <c r="AE36" s="234"/>
      <c r="AF36" s="239"/>
      <c r="AG36" s="239"/>
      <c r="AH36" s="240"/>
      <c r="AI36" s="240"/>
      <c r="BM36" s="55" t="n">
        <v>14</v>
      </c>
    </row>
    <row r="37" customFormat="false" ht="14.25" hidden="false" customHeight="true" outlineLevel="0" collapsed="false">
      <c r="D37" s="280"/>
      <c r="E37" s="281"/>
      <c r="F37" s="281"/>
      <c r="G37" s="206"/>
      <c r="H37" s="272"/>
      <c r="I37" s="268"/>
      <c r="J37" s="233"/>
      <c r="K37" s="77"/>
      <c r="L37" s="234"/>
      <c r="M37" s="234"/>
      <c r="N37" s="52"/>
      <c r="O37" s="234"/>
      <c r="P37" s="233"/>
      <c r="Q37" s="273"/>
      <c r="R37" s="234"/>
      <c r="S37" s="234"/>
      <c r="T37" s="274"/>
      <c r="U37" s="234"/>
      <c r="V37" s="233"/>
      <c r="W37" s="118"/>
      <c r="X37" s="234"/>
      <c r="Y37" s="234"/>
      <c r="Z37" s="118"/>
      <c r="AA37" s="239"/>
      <c r="AB37" s="240"/>
      <c r="AC37" s="240"/>
      <c r="AD37" s="240"/>
      <c r="AE37" s="240"/>
      <c r="AF37" s="240"/>
      <c r="AG37" s="240"/>
      <c r="AH37" s="240"/>
      <c r="AI37" s="240"/>
      <c r="BM37" s="55" t="n">
        <v>14</v>
      </c>
    </row>
    <row r="38" customFormat="false" ht="14.25" hidden="false" customHeight="true" outlineLevel="0" collapsed="false">
      <c r="D38" s="280"/>
      <c r="E38" s="281"/>
      <c r="F38" s="281"/>
      <c r="G38" s="206"/>
      <c r="H38" s="272"/>
      <c r="I38" s="268"/>
      <c r="J38" s="233"/>
      <c r="K38" s="77"/>
      <c r="L38" s="234"/>
      <c r="M38" s="234"/>
      <c r="N38" s="52"/>
      <c r="O38" s="234"/>
      <c r="P38" s="233"/>
      <c r="Q38" s="273"/>
      <c r="R38" s="234"/>
      <c r="S38" s="234"/>
      <c r="T38" s="275"/>
      <c r="U38" s="276"/>
      <c r="V38" s="240"/>
      <c r="W38" s="240"/>
      <c r="X38" s="240"/>
      <c r="Y38" s="240"/>
      <c r="Z38" s="240"/>
      <c r="AA38" s="240"/>
      <c r="AB38" s="240"/>
      <c r="AC38" s="240"/>
      <c r="AD38" s="240"/>
      <c r="AE38" s="240"/>
      <c r="AF38" s="240"/>
      <c r="AG38" s="240"/>
      <c r="AH38" s="240"/>
      <c r="AI38" s="240"/>
      <c r="BM38" s="55" t="n">
        <v>14</v>
      </c>
    </row>
    <row r="39" customFormat="false" ht="11.25" hidden="false" customHeight="true" outlineLevel="0" collapsed="false">
      <c r="D39" s="280"/>
      <c r="E39" s="281"/>
      <c r="F39" s="281"/>
      <c r="G39" s="206"/>
      <c r="H39" s="277"/>
      <c r="I39" s="268"/>
      <c r="J39" s="233"/>
      <c r="K39" s="77"/>
      <c r="L39" s="234"/>
      <c r="M39" s="234"/>
      <c r="N39" s="239"/>
      <c r="O39" s="239"/>
      <c r="P39" s="240"/>
      <c r="Q39" s="240"/>
      <c r="R39" s="240"/>
      <c r="S39" s="240"/>
      <c r="T39" s="240"/>
      <c r="U39" s="240"/>
      <c r="V39" s="240"/>
      <c r="W39" s="240"/>
      <c r="X39" s="240"/>
      <c r="Y39" s="240"/>
      <c r="Z39" s="240"/>
      <c r="AA39" s="240"/>
      <c r="AB39" s="240"/>
      <c r="AC39" s="240"/>
      <c r="AD39" s="240"/>
      <c r="AE39" s="240"/>
      <c r="AF39" s="240"/>
      <c r="AG39" s="240"/>
      <c r="AH39" s="240"/>
      <c r="AI39" s="240"/>
      <c r="BM39" s="55" t="n">
        <v>11</v>
      </c>
    </row>
    <row r="40" s="253" customFormat="true" ht="11.25" hidden="false" customHeight="true" outlineLevel="0" collapsed="false">
      <c r="D40" s="280"/>
      <c r="E40" s="281"/>
      <c r="F40" s="281"/>
      <c r="G40" s="206"/>
      <c r="H40" s="278"/>
      <c r="I40" s="279"/>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55"/>
      <c r="AK40" s="250"/>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253" t="n">
        <v>11</v>
      </c>
    </row>
    <row r="41" customFormat="false" ht="11.25" hidden="false" customHeight="true" outlineLevel="0" collapsed="false">
      <c r="AK41" s="55"/>
      <c r="BM41" s="55" t="n">
        <v>11</v>
      </c>
    </row>
    <row r="42" customFormat="false" ht="11.25" hidden="false" customHeight="true" outlineLevel="0" collapsed="false">
      <c r="AK42" s="55"/>
      <c r="BM42" s="55" t="n">
        <v>11</v>
      </c>
    </row>
    <row r="43" customFormat="false" ht="11.25" hidden="false" customHeight="true" outlineLevel="0" collapsed="false">
      <c r="AK43" s="55"/>
      <c r="BM43" s="55" t="n">
        <v>11</v>
      </c>
    </row>
    <row r="44" customFormat="false" ht="11.25" hidden="false" customHeight="true" outlineLevel="0" collapsed="false">
      <c r="AK44" s="55"/>
      <c r="BM44" s="55" t="n">
        <v>11</v>
      </c>
    </row>
    <row r="45" customFormat="false" ht="11.25" hidden="false" customHeight="true" outlineLevel="0" collapsed="false">
      <c r="AK45" s="55"/>
      <c r="BM45" s="55" t="n">
        <v>11</v>
      </c>
    </row>
    <row r="46" customFormat="false" ht="11.25" hidden="false" customHeight="true" outlineLevel="0" collapsed="false">
      <c r="AK46" s="55"/>
      <c r="BM46" s="55" t="n">
        <v>11</v>
      </c>
    </row>
    <row r="47" customFormat="false" ht="11.25" hidden="false" customHeight="true" outlineLevel="0" collapsed="false">
      <c r="AK47" s="55"/>
      <c r="BM47" s="55" t="n">
        <v>11</v>
      </c>
    </row>
    <row r="48" customFormat="false" ht="11.25" hidden="false" customHeight="true" outlineLevel="0" collapsed="false">
      <c r="AK48" s="55"/>
      <c r="BM48" s="55" t="n">
        <v>11</v>
      </c>
    </row>
    <row r="49" customFormat="false" ht="11.25" hidden="false" customHeight="true" outlineLevel="0" collapsed="false">
      <c r="AK49" s="55"/>
      <c r="BM49" s="55" t="n">
        <v>11</v>
      </c>
    </row>
    <row r="50" customFormat="false" ht="11.25" hidden="true" customHeight="true" outlineLevel="0" collapsed="false">
      <c r="A50" s="55" t="s">
        <v>80</v>
      </c>
      <c r="B50" s="55" t="n">
        <v>0</v>
      </c>
      <c r="C50" s="55" t="n">
        <v>3</v>
      </c>
      <c r="D50" s="55" t="n">
        <v>3</v>
      </c>
      <c r="E50" s="55" t="n">
        <v>15</v>
      </c>
      <c r="F50" s="55" t="n">
        <v>15</v>
      </c>
      <c r="G50" s="55" t="n">
        <v>11</v>
      </c>
      <c r="H50" s="55" t="n">
        <v>3</v>
      </c>
      <c r="I50" s="55" t="n">
        <v>3</v>
      </c>
      <c r="J50" s="55" t="n">
        <v>12</v>
      </c>
      <c r="K50" s="55" t="n">
        <v>0</v>
      </c>
      <c r="L50" s="55" t="n">
        <v>10</v>
      </c>
      <c r="M50" s="55" t="n">
        <v>10</v>
      </c>
      <c r="N50" s="55" t="n">
        <v>3</v>
      </c>
      <c r="O50" s="55" t="n">
        <v>3</v>
      </c>
      <c r="P50" s="55" t="n">
        <v>19</v>
      </c>
      <c r="Q50" s="55" t="n">
        <v>0</v>
      </c>
      <c r="R50" s="55" t="n">
        <v>10</v>
      </c>
      <c r="S50" s="55" t="n">
        <v>10</v>
      </c>
      <c r="T50" s="55" t="n">
        <v>3</v>
      </c>
      <c r="U50" s="55" t="n">
        <v>3</v>
      </c>
      <c r="V50" s="55" t="n">
        <v>25</v>
      </c>
      <c r="W50" s="55" t="n">
        <v>0</v>
      </c>
      <c r="X50" s="55" t="n">
        <v>10</v>
      </c>
      <c r="Y50" s="55" t="n">
        <v>10</v>
      </c>
      <c r="Z50" s="55" t="n">
        <v>3</v>
      </c>
      <c r="AA50" s="55" t="n">
        <v>3</v>
      </c>
      <c r="AB50" s="55" t="n">
        <v>16</v>
      </c>
      <c r="AC50" s="55" t="n">
        <v>0</v>
      </c>
      <c r="AD50" s="55" t="n">
        <v>10</v>
      </c>
      <c r="AE50" s="55" t="n">
        <v>10</v>
      </c>
      <c r="AF50" s="55" t="n">
        <v>3</v>
      </c>
      <c r="AG50" s="55" t="n">
        <v>3</v>
      </c>
      <c r="AH50" s="55" t="n">
        <v>8</v>
      </c>
      <c r="AI50" s="55" t="n">
        <v>21</v>
      </c>
      <c r="AJ50" s="55" t="n">
        <v>8</v>
      </c>
      <c r="AK50" s="250" t="n">
        <v>8</v>
      </c>
      <c r="AL50" s="55" t="n">
        <v>8</v>
      </c>
      <c r="AM50" s="55" t="n">
        <v>8</v>
      </c>
      <c r="AN50" s="55" t="n">
        <v>8</v>
      </c>
      <c r="AO50" s="55" t="n">
        <v>8</v>
      </c>
      <c r="AP50" s="55" t="n">
        <v>8</v>
      </c>
      <c r="AQ50" s="55" t="n">
        <v>8</v>
      </c>
      <c r="AR50" s="55" t="n">
        <v>8</v>
      </c>
      <c r="AS50" s="55" t="n">
        <v>8</v>
      </c>
      <c r="AT50" s="55" t="n">
        <v>8</v>
      </c>
      <c r="AU50" s="55" t="n">
        <v>8</v>
      </c>
      <c r="AV50" s="55" t="n">
        <v>8</v>
      </c>
      <c r="AW50" s="55" t="n">
        <v>8</v>
      </c>
      <c r="AX50" s="55" t="n">
        <v>8</v>
      </c>
      <c r="AY50" s="55" t="n">
        <v>8</v>
      </c>
      <c r="AZ50" s="55" t="n">
        <v>8</v>
      </c>
      <c r="BA50" s="55" t="n">
        <v>8</v>
      </c>
      <c r="BB50" s="55" t="n">
        <v>8</v>
      </c>
      <c r="BC50" s="55" t="n">
        <v>8</v>
      </c>
      <c r="BD50" s="55" t="n">
        <v>8</v>
      </c>
      <c r="BE50" s="55" t="n">
        <v>8</v>
      </c>
      <c r="BF50" s="55" t="n">
        <v>8</v>
      </c>
      <c r="BG50" s="55" t="n">
        <v>8</v>
      </c>
      <c r="BH50" s="55" t="n">
        <v>8</v>
      </c>
      <c r="BI50" s="55" t="n">
        <v>8</v>
      </c>
      <c r="BJ50" s="55" t="n">
        <v>8</v>
      </c>
      <c r="BK50" s="55" t="n">
        <v>8</v>
      </c>
      <c r="BL50" s="55" t="n">
        <v>8</v>
      </c>
      <c r="BM50" s="55" t="n">
        <v>11</v>
      </c>
    </row>
  </sheetData>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dataValidations count="2">
    <dataValidation allowBlank="true" error="Допускается ввод не более 900 символов!" errorStyle="stop" errorTitle="Ошибка" operator="lessThanOrEqual" showDropDown="false" showErrorMessage="true" showInputMessage="true" sqref="J11:J12 P11:P14 AI11 J13:J15 J17:J18 P17:P20 AI17 J19:J21 J23:J24 P23:P26 AI23 J25:J27 J29:J30 P29:P32 AI29 J31:J33 J35:J36 P35:P38 AI35 J37:J39" type="textLength">
      <formula1>900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11 AC17 AC23 AC29 AC35" type="list">
      <formula1>list_typetko</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F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1.71"/>
    <col collapsed="false" customWidth="true" hidden="false" outlineLevel="0" max="2" min="2" style="55" width="34.58"/>
    <col collapsed="false" customWidth="true" hidden="false" outlineLevel="0" max="3" min="3" style="55" width="85"/>
    <col collapsed="false" customWidth="true" hidden="false" outlineLevel="0" max="4" min="4" style="55" width="17"/>
    <col collapsed="false" customWidth="true" hidden="false" outlineLevel="0" max="5" min="5" style="55" width="8"/>
    <col collapsed="false" customWidth="false" hidden="true" outlineLevel="0" max="6" min="6" style="55" width="9.15"/>
  </cols>
  <sheetData>
    <row r="1" customFormat="false" ht="3" hidden="false" customHeight="true" outlineLevel="0" collapsed="false">
      <c r="F1" s="55" t="s">
        <v>14</v>
      </c>
    </row>
    <row r="2" customFormat="false" ht="22.5" hidden="false" customHeight="true" outlineLevel="0" collapsed="false">
      <c r="B2" s="1021" t="s">
        <v>1896</v>
      </c>
      <c r="C2" s="1021"/>
      <c r="D2" s="1021"/>
      <c r="E2" s="1022"/>
      <c r="F2" s="55" t="n">
        <v>22</v>
      </c>
    </row>
    <row r="3" customFormat="false" ht="3" hidden="false" customHeight="true" outlineLevel="0" collapsed="false">
      <c r="F3" s="55" t="n">
        <v>3</v>
      </c>
    </row>
    <row r="4" customFormat="false" ht="23.25" hidden="false" customHeight="true" outlineLevel="0" collapsed="false">
      <c r="B4" s="1023" t="s">
        <v>1897</v>
      </c>
      <c r="C4" s="1023" t="s">
        <v>1898</v>
      </c>
      <c r="D4" s="1023" t="s">
        <v>1899</v>
      </c>
      <c r="F4" s="55" t="n">
        <v>22</v>
      </c>
    </row>
    <row r="5" customFormat="false" ht="11.25" hidden="true" customHeight="true" outlineLevel="0" collapsed="false">
      <c r="A5" s="55" t="s">
        <v>80</v>
      </c>
      <c r="B5" s="55" t="n">
        <v>34</v>
      </c>
      <c r="C5" s="55" t="n">
        <v>85</v>
      </c>
      <c r="D5" s="55" t="n">
        <v>17</v>
      </c>
      <c r="E5" s="55" t="n">
        <v>8</v>
      </c>
      <c r="F5" s="55" t="n">
        <v>11</v>
      </c>
    </row>
  </sheetData>
  <mergeCells count="1">
    <mergeCell ref="B2:D2"/>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2:GB21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5234375" defaultRowHeight="16.5" zeroHeight="false" outlineLevelRow="0" outlineLevelCol="0"/>
  <cols>
    <col collapsed="false" customWidth="true" hidden="false" outlineLevel="0" max="1" min="1" style="55" width="26.58"/>
    <col collapsed="false" customWidth="true" hidden="false" outlineLevel="0" max="2" min="2" style="55" width="10"/>
    <col collapsed="false" customWidth="false" hidden="false" outlineLevel="0" max="3" min="3" style="55" width="9.15"/>
    <col collapsed="false" customWidth="true" hidden="false" outlineLevel="0" max="4" min="4" style="55" width="11.14"/>
    <col collapsed="false" customWidth="true" hidden="false" outlineLevel="0" max="5" min="5" style="55" width="16.57"/>
    <col collapsed="false" customWidth="true" hidden="false" outlineLevel="0" max="6" min="6" style="55" width="16.28"/>
    <col collapsed="false" customWidth="true" hidden="false" outlineLevel="0" max="7" min="7" style="55" width="19.14"/>
    <col collapsed="false" customWidth="true" hidden="false" outlineLevel="0" max="11" min="8" style="55" width="10"/>
    <col collapsed="false" customWidth="true" hidden="false" outlineLevel="0" max="12" min="12" style="55" width="12.71"/>
    <col collapsed="false" customWidth="true" hidden="false" outlineLevel="0" max="13" min="13" style="55" width="61.28"/>
    <col collapsed="false" customWidth="true" hidden="false" outlineLevel="0" max="14" min="14" style="55" width="10"/>
    <col collapsed="false" customWidth="true" hidden="false" outlineLevel="0" max="17" min="15" style="55" width="23.71"/>
    <col collapsed="false" customWidth="true" hidden="false" outlineLevel="0" max="18" min="18" style="55" width="11.71"/>
    <col collapsed="false" customWidth="true" hidden="false" outlineLevel="0" max="19" min="19" style="55" width="8.57"/>
    <col collapsed="false" customWidth="true" hidden="false" outlineLevel="0" max="20" min="20" style="55" width="11.71"/>
    <col collapsed="false" customWidth="true" hidden="false" outlineLevel="0" max="21" min="21" style="55" width="8.57"/>
    <col collapsed="false" customWidth="true" hidden="false" outlineLevel="0" max="22" min="22" style="55" width="4.71"/>
    <col collapsed="false" customWidth="true" hidden="false" outlineLevel="0" max="23" min="23" style="55" width="115.71"/>
    <col collapsed="false" customWidth="true" hidden="false" outlineLevel="0" max="24" min="24" style="55" width="115.28"/>
    <col collapsed="false" customWidth="false" hidden="false" outlineLevel="0" max="27" min="25" style="55" width="9.15"/>
    <col collapsed="false" customWidth="true" hidden="false" outlineLevel="0" max="28" min="28" style="55" width="115.71"/>
    <col collapsed="false" customWidth="false" hidden="false" outlineLevel="0" max="29" min="29" style="55" width="9.15"/>
    <col collapsed="false" customWidth="true" hidden="false" outlineLevel="0" max="90" min="30" style="55" width="115.71"/>
    <col collapsed="false" customWidth="false" hidden="false" outlineLevel="0" max="184" min="91" style="55" width="9.15"/>
  </cols>
  <sheetData>
    <row r="2" s="1024" customFormat="true" ht="17.25" hidden="false" customHeight="true" outlineLevel="0" collapsed="false">
      <c r="A2" s="1024" t="s">
        <v>1900</v>
      </c>
    </row>
    <row r="4" s="1011" customFormat="true" ht="15" hidden="false" customHeight="true" outlineLevel="0" collapsed="false">
      <c r="C4" s="328"/>
      <c r="D4" s="729"/>
      <c r="E4" s="332"/>
    </row>
    <row r="6" s="1024" customFormat="true" ht="17.25" hidden="false" customHeight="true" outlineLevel="0" collapsed="false">
      <c r="A6" s="1024" t="s">
        <v>1901</v>
      </c>
    </row>
    <row r="8" s="1011" customFormat="true" ht="17.25" hidden="false" customHeight="true" outlineLevel="0" collapsed="false">
      <c r="C8" s="1025"/>
      <c r="D8" s="729"/>
      <c r="E8" s="333"/>
    </row>
    <row r="11" s="1024" customFormat="true" ht="17.25" hidden="false" customHeight="true" outlineLevel="0" collapsed="false">
      <c r="A11" s="1024" t="s">
        <v>1902</v>
      </c>
    </row>
    <row r="13" s="133" customFormat="true" ht="15" hidden="false" customHeight="true" outlineLevel="0" collapsed="false">
      <c r="A13" s="107" t="n">
        <v>1</v>
      </c>
      <c r="B13" s="45"/>
      <c r="C13" s="162" t="s">
        <v>686</v>
      </c>
      <c r="D13" s="121"/>
      <c r="E13" s="150" t="n">
        <f aca="false">A13</f>
        <v>1</v>
      </c>
      <c r="F13" s="223"/>
      <c r="G13" s="152" t="str">
        <f aca="false">"Территория "&amp;E13</f>
        <v>Территория 1</v>
      </c>
      <c r="H13" s="153"/>
      <c r="I13" s="153"/>
      <c r="J13" s="122"/>
      <c r="K13" s="122"/>
      <c r="L13" s="122"/>
      <c r="M13" s="122"/>
      <c r="N13" s="122"/>
      <c r="O13" s="122"/>
      <c r="P13" s="123"/>
      <c r="Q13" s="123"/>
      <c r="R13" s="123"/>
      <c r="S13" s="123"/>
    </row>
    <row r="14" s="55" customFormat="true" ht="15" hidden="false" customHeight="true" outlineLevel="0" collapsed="false">
      <c r="A14" s="107"/>
      <c r="B14" s="45" t="n">
        <v>1</v>
      </c>
      <c r="C14" s="45"/>
      <c r="D14" s="154"/>
      <c r="E14" s="155" t="str">
        <f aca="false">A13&amp;"."&amp;B14</f>
        <v>1.1</v>
      </c>
      <c r="F14" s="1026" t="n">
        <f aca="false">$F$20</f>
        <v>0</v>
      </c>
      <c r="G14" s="157"/>
      <c r="H14" s="157"/>
      <c r="I14" s="158"/>
      <c r="J14" s="122"/>
      <c r="K14" s="49"/>
      <c r="L14" s="49"/>
      <c r="M14" s="122" t="str">
        <f aca="false" t="array" ref="M14:M14">IF(ISERROR(MATCH(MID(N14,1,250),MID(note_ter,1,250),0)),"n","y")</f>
        <v>n</v>
      </c>
      <c r="N14" s="49"/>
      <c r="O14" s="122" t="str">
        <f aca="false">H14&amp;"("&amp;I14&amp;")"</f>
        <v>()</v>
      </c>
      <c r="P14" s="45"/>
      <c r="Q14" s="45"/>
      <c r="R14" s="159"/>
      <c r="S14" s="45"/>
      <c r="T14" s="45"/>
      <c r="U14" s="45"/>
      <c r="V14" s="56"/>
      <c r="W14" s="56"/>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N14" s="160"/>
      <c r="BO14" s="160"/>
      <c r="BP14" s="160"/>
      <c r="BQ14" s="160"/>
      <c r="BR14" s="160"/>
      <c r="BS14" s="56"/>
      <c r="BT14" s="56"/>
      <c r="BU14" s="56"/>
      <c r="BV14" s="56"/>
      <c r="BW14" s="56"/>
      <c r="BX14" s="56"/>
      <c r="BY14" s="56"/>
      <c r="BZ14" s="56"/>
      <c r="CA14" s="56"/>
      <c r="CB14" s="56"/>
    </row>
    <row r="15" s="55" customFormat="true" ht="15" hidden="false" customHeight="true" outlineLevel="0" collapsed="false">
      <c r="A15" s="107"/>
      <c r="B15" s="45"/>
      <c r="C15" s="161"/>
      <c r="D15" s="162"/>
      <c r="E15" s="163"/>
      <c r="F15" s="164"/>
      <c r="G15" s="165" t="s">
        <v>100</v>
      </c>
      <c r="H15" s="166"/>
      <c r="I15" s="167"/>
      <c r="J15" s="49"/>
      <c r="K15" s="49"/>
      <c r="L15" s="49"/>
      <c r="M15" s="49"/>
      <c r="N15" s="122"/>
      <c r="O15" s="49"/>
      <c r="P15" s="45"/>
      <c r="Q15" s="45"/>
      <c r="R15" s="159"/>
      <c r="S15" s="45"/>
      <c r="T15" s="45"/>
      <c r="U15" s="45"/>
      <c r="V15" s="56"/>
      <c r="W15" s="56"/>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N15" s="160"/>
      <c r="BO15" s="160"/>
      <c r="BP15" s="160"/>
      <c r="BQ15" s="160"/>
      <c r="BR15" s="160"/>
      <c r="BS15" s="56"/>
      <c r="BT15" s="56"/>
      <c r="BU15" s="56"/>
      <c r="BV15" s="56"/>
      <c r="BW15" s="56"/>
      <c r="BX15" s="56"/>
      <c r="BY15" s="56"/>
      <c r="BZ15" s="56"/>
      <c r="CA15" s="56"/>
      <c r="CB15" s="56"/>
    </row>
    <row r="17" s="1024" customFormat="true" ht="17.25" hidden="false" customHeight="true" outlineLevel="0" collapsed="false">
      <c r="A17" s="1024" t="s">
        <v>1903</v>
      </c>
    </row>
    <row r="19" s="55" customFormat="true" ht="15" hidden="false" customHeight="true" outlineLevel="0" collapsed="false">
      <c r="A19" s="107"/>
      <c r="B19" s="45" t="n">
        <v>1</v>
      </c>
      <c r="C19" s="45"/>
      <c r="D19" s="154" t="s">
        <v>686</v>
      </c>
      <c r="E19" s="150"/>
      <c r="F19" s="434" t="n">
        <f aca="false">$F$20</f>
        <v>0</v>
      </c>
      <c r="G19" s="1027"/>
      <c r="H19" s="1027"/>
      <c r="I19" s="1028"/>
      <c r="J19" s="122"/>
      <c r="K19" s="49"/>
      <c r="L19" s="49"/>
      <c r="M19" s="122" t="str">
        <f aca="false" t="array" ref="M19:M19">IF(ISERROR(MATCH(MID(N19,1,250),MID(note_ter,1,250),0)),"n","y")</f>
        <v>n</v>
      </c>
      <c r="N19" s="49"/>
      <c r="O19" s="122" t="str">
        <f aca="false">H19&amp;"("&amp;I19&amp;")"</f>
        <v>()</v>
      </c>
      <c r="P19" s="45"/>
      <c r="Q19" s="45"/>
      <c r="R19" s="159"/>
      <c r="S19" s="45"/>
      <c r="T19" s="45"/>
      <c r="U19" s="45"/>
      <c r="V19" s="56"/>
      <c r="W19" s="56"/>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0"/>
      <c r="AZ19" s="160"/>
      <c r="BA19" s="160"/>
      <c r="BB19" s="160"/>
      <c r="BC19" s="160"/>
      <c r="BD19" s="160"/>
      <c r="BE19" s="160"/>
      <c r="BF19" s="160"/>
      <c r="BG19" s="160"/>
      <c r="BH19" s="160"/>
      <c r="BI19" s="160"/>
      <c r="BJ19" s="160"/>
      <c r="BK19" s="160"/>
      <c r="BL19" s="160"/>
      <c r="BM19" s="160"/>
      <c r="BN19" s="160"/>
      <c r="BO19" s="160"/>
      <c r="BP19" s="160"/>
      <c r="BQ19" s="160"/>
      <c r="BR19" s="160"/>
      <c r="BS19" s="56"/>
      <c r="BT19" s="56"/>
      <c r="BU19" s="56"/>
      <c r="BV19" s="56"/>
      <c r="BW19" s="56"/>
      <c r="BX19" s="56"/>
      <c r="BY19" s="56"/>
      <c r="BZ19" s="56"/>
      <c r="CA19" s="56"/>
      <c r="CB19" s="56"/>
    </row>
    <row r="21" s="55" customFormat="true" ht="15" hidden="false" customHeight="true" outlineLevel="0" collapsed="false">
      <c r="A21" s="1024" t="s">
        <v>1904</v>
      </c>
      <c r="B21" s="1024"/>
      <c r="C21" s="1024"/>
      <c r="D21" s="1024"/>
      <c r="E21" s="1024"/>
      <c r="F21" s="1024"/>
      <c r="G21" s="1024"/>
      <c r="H21" s="1024"/>
      <c r="I21" s="1024"/>
      <c r="J21" s="1024"/>
      <c r="K21" s="1024"/>
      <c r="L21" s="1024"/>
      <c r="M21" s="1024"/>
      <c r="N21" s="1024"/>
      <c r="O21" s="1024"/>
      <c r="P21" s="1024"/>
      <c r="Q21" s="1024"/>
      <c r="R21" s="1024"/>
      <c r="S21" s="1024"/>
      <c r="T21" s="1024"/>
      <c r="U21" s="1029"/>
      <c r="V21" s="1024"/>
      <c r="W21" s="1024"/>
    </row>
    <row r="22" s="55" customFormat="true" ht="15" hidden="false" customHeight="true" outlineLevel="0" collapsed="false">
      <c r="U22" s="1030"/>
    </row>
    <row r="23" s="177" customFormat="true" ht="15" hidden="false" customHeight="true" outlineLevel="0" collapsed="false">
      <c r="A23" s="55"/>
      <c r="B23" s="55"/>
      <c r="C23" s="777" t="s">
        <v>686</v>
      </c>
      <c r="D23" s="200" t="s">
        <v>107</v>
      </c>
      <c r="E23" s="201"/>
      <c r="F23" s="206" t="s">
        <v>19</v>
      </c>
      <c r="G23" s="1031"/>
      <c r="H23" s="138" t="n">
        <v>1</v>
      </c>
      <c r="I23" s="1032" t="str">
        <f aca="false">IF(U23="","",INDEX(TERRITORY_MR_LIST,MATCH(U23,TERRITORY_LIST_ID,0)))</f>
        <v/>
      </c>
      <c r="J23" s="206" t="s">
        <v>19</v>
      </c>
      <c r="K23" s="1033"/>
      <c r="L23" s="200" t="s">
        <v>107</v>
      </c>
      <c r="M23" s="208"/>
      <c r="N23" s="144"/>
      <c r="O23" s="144"/>
      <c r="P23" s="144"/>
      <c r="Q23" s="144"/>
      <c r="R23" s="144"/>
      <c r="S23" s="144"/>
      <c r="T23" s="144"/>
      <c r="U23" s="1034"/>
      <c r="V23" s="144"/>
      <c r="W23" s="144"/>
      <c r="X23" s="144"/>
      <c r="Y23" s="144" t="s">
        <v>117</v>
      </c>
      <c r="Z23" s="144" t="n">
        <v>1705000</v>
      </c>
      <c r="AA23" s="144"/>
      <c r="AB23" s="144"/>
      <c r="AC23" s="144"/>
      <c r="AD23" s="144"/>
      <c r="AE23" s="144"/>
      <c r="AF23" s="144"/>
      <c r="AG23" s="144"/>
      <c r="AH23" s="144"/>
      <c r="AI23" s="144"/>
      <c r="AJ23" s="144"/>
      <c r="AK23" s="144"/>
      <c r="AL23" s="144"/>
    </row>
    <row r="24" s="177" customFormat="true" ht="15" hidden="false" customHeight="true" outlineLevel="0" collapsed="false">
      <c r="A24" s="55"/>
      <c r="B24" s="55"/>
      <c r="C24" s="142"/>
      <c r="D24" s="200"/>
      <c r="E24" s="201"/>
      <c r="F24" s="206"/>
      <c r="G24" s="1031"/>
      <c r="H24" s="138"/>
      <c r="I24" s="1032"/>
      <c r="J24" s="206"/>
      <c r="K24" s="163"/>
      <c r="L24" s="164"/>
      <c r="M24" s="209" t="s">
        <v>118</v>
      </c>
      <c r="N24" s="144"/>
      <c r="O24" s="144"/>
      <c r="P24" s="144"/>
      <c r="Q24" s="144"/>
      <c r="R24" s="144"/>
      <c r="S24" s="144"/>
      <c r="T24" s="144"/>
      <c r="U24" s="1034"/>
      <c r="V24" s="144"/>
      <c r="W24" s="144"/>
      <c r="X24" s="144"/>
      <c r="Y24" s="144"/>
      <c r="Z24" s="144"/>
      <c r="AA24" s="144"/>
      <c r="AB24" s="144"/>
      <c r="AC24" s="144"/>
      <c r="AD24" s="144"/>
      <c r="AE24" s="144"/>
      <c r="AF24" s="144"/>
      <c r="AG24" s="144"/>
      <c r="AH24" s="144"/>
      <c r="AI24" s="144"/>
      <c r="AJ24" s="144"/>
      <c r="AK24" s="144"/>
      <c r="AL24" s="144"/>
    </row>
    <row r="25" s="177" customFormat="true" ht="15" hidden="false" customHeight="true" outlineLevel="0" collapsed="false">
      <c r="A25" s="55"/>
      <c r="B25" s="55"/>
      <c r="C25" s="142"/>
      <c r="D25" s="200"/>
      <c r="E25" s="201"/>
      <c r="F25" s="206"/>
      <c r="G25" s="163"/>
      <c r="H25" s="164"/>
      <c r="I25" s="165" t="s">
        <v>119</v>
      </c>
      <c r="J25" s="164"/>
      <c r="K25" s="164"/>
      <c r="L25" s="164"/>
      <c r="M25" s="212"/>
      <c r="N25" s="144"/>
      <c r="O25" s="144"/>
      <c r="P25" s="144"/>
      <c r="Q25" s="144"/>
      <c r="R25" s="144"/>
      <c r="S25" s="144"/>
      <c r="T25" s="144"/>
      <c r="U25" s="1034"/>
      <c r="V25" s="144"/>
      <c r="W25" s="144"/>
      <c r="X25" s="144"/>
      <c r="Y25" s="144"/>
      <c r="Z25" s="144"/>
      <c r="AA25" s="144"/>
      <c r="AB25" s="144"/>
      <c r="AC25" s="144"/>
      <c r="AD25" s="144"/>
      <c r="AE25" s="144"/>
      <c r="AF25" s="144"/>
      <c r="AG25" s="144"/>
      <c r="AH25" s="144"/>
      <c r="AI25" s="144"/>
      <c r="AJ25" s="144"/>
      <c r="AK25" s="144"/>
      <c r="AL25" s="144"/>
    </row>
    <row r="26" s="55" customFormat="true" ht="15" hidden="false" customHeight="true" outlineLevel="0" collapsed="false">
      <c r="U26" s="1030"/>
    </row>
    <row r="27" s="55" customFormat="true" ht="15" hidden="false" customHeight="true" outlineLevel="0" collapsed="false">
      <c r="A27" s="1024" t="s">
        <v>1905</v>
      </c>
      <c r="B27" s="1024"/>
      <c r="C27" s="1024"/>
      <c r="D27" s="1024"/>
      <c r="E27" s="1024"/>
      <c r="F27" s="1024"/>
      <c r="G27" s="1024"/>
      <c r="H27" s="1024"/>
      <c r="I27" s="1024"/>
      <c r="J27" s="1024"/>
      <c r="K27" s="1024"/>
      <c r="L27" s="1024"/>
      <c r="M27" s="1024"/>
      <c r="N27" s="1024"/>
      <c r="O27" s="1024"/>
      <c r="P27" s="1024"/>
      <c r="Q27" s="1024"/>
      <c r="R27" s="1024"/>
      <c r="S27" s="1024"/>
      <c r="T27" s="1024"/>
      <c r="U27" s="1029"/>
      <c r="V27" s="1024"/>
      <c r="W27" s="1024"/>
    </row>
    <row r="28" s="55" customFormat="true" ht="15" hidden="false" customHeight="true" outlineLevel="0" collapsed="false">
      <c r="U28" s="1030"/>
    </row>
    <row r="29" s="177" customFormat="true" ht="15" hidden="false" customHeight="true" outlineLevel="0" collapsed="false">
      <c r="A29" s="55"/>
      <c r="B29" s="55"/>
      <c r="C29" s="142"/>
      <c r="D29" s="1035"/>
      <c r="E29" s="1035"/>
      <c r="F29" s="1035"/>
      <c r="G29" s="1036" t="s">
        <v>686</v>
      </c>
      <c r="H29" s="506" t="n">
        <v>1</v>
      </c>
      <c r="I29" s="205" t="str">
        <f aca="false">IF(U29="","",INDEX(TERRITORY_MR_LIST,MATCH(U29,TERRITORY_LIST_ID,0)))</f>
        <v/>
      </c>
      <c r="J29" s="206" t="s">
        <v>19</v>
      </c>
      <c r="K29" s="1033"/>
      <c r="L29" s="200" t="s">
        <v>107</v>
      </c>
      <c r="M29" s="208"/>
      <c r="N29" s="144"/>
      <c r="O29" s="144"/>
      <c r="P29" s="144"/>
      <c r="Q29" s="144"/>
      <c r="R29" s="144"/>
      <c r="S29" s="144"/>
      <c r="T29" s="144"/>
      <c r="U29" s="1034"/>
      <c r="V29" s="144"/>
      <c r="W29" s="144"/>
      <c r="X29" s="144"/>
      <c r="Y29" s="144" t="s">
        <v>117</v>
      </c>
      <c r="Z29" s="144" t="n">
        <v>1705000</v>
      </c>
      <c r="AA29" s="144"/>
      <c r="AB29" s="144"/>
      <c r="AC29" s="144"/>
      <c r="AD29" s="144"/>
      <c r="AE29" s="144"/>
      <c r="AF29" s="144"/>
      <c r="AG29" s="144"/>
      <c r="AH29" s="144"/>
      <c r="AI29" s="144"/>
      <c r="AJ29" s="144"/>
      <c r="AK29" s="144"/>
      <c r="AL29" s="144"/>
    </row>
    <row r="30" s="177" customFormat="true" ht="15" hidden="false" customHeight="true" outlineLevel="0" collapsed="false">
      <c r="A30" s="55"/>
      <c r="B30" s="55"/>
      <c r="C30" s="142"/>
      <c r="D30" s="1035"/>
      <c r="E30" s="1035"/>
      <c r="F30" s="1035"/>
      <c r="G30" s="1036"/>
      <c r="H30" s="506"/>
      <c r="I30" s="205"/>
      <c r="J30" s="206"/>
      <c r="K30" s="163"/>
      <c r="L30" s="164"/>
      <c r="M30" s="209" t="s">
        <v>118</v>
      </c>
      <c r="N30" s="144"/>
      <c r="O30" s="144"/>
      <c r="P30" s="144"/>
      <c r="Q30" s="144"/>
      <c r="R30" s="144"/>
      <c r="S30" s="144"/>
      <c r="T30" s="144"/>
      <c r="U30" s="1034"/>
      <c r="V30" s="144"/>
      <c r="W30" s="144"/>
      <c r="X30" s="144"/>
      <c r="Y30" s="144"/>
      <c r="Z30" s="144"/>
      <c r="AA30" s="144"/>
      <c r="AB30" s="144"/>
      <c r="AC30" s="144"/>
      <c r="AD30" s="144"/>
      <c r="AE30" s="144"/>
      <c r="AF30" s="144"/>
      <c r="AG30" s="144"/>
      <c r="AH30" s="144"/>
      <c r="AI30" s="144"/>
      <c r="AJ30" s="144"/>
      <c r="AK30" s="144"/>
      <c r="AL30" s="144"/>
    </row>
    <row r="31" s="55" customFormat="true" ht="15" hidden="false" customHeight="true" outlineLevel="0" collapsed="false">
      <c r="U31" s="1030"/>
    </row>
    <row r="32" s="55" customFormat="true" ht="15" hidden="false" customHeight="true" outlineLevel="0" collapsed="false">
      <c r="A32" s="1024" t="s">
        <v>1906</v>
      </c>
      <c r="B32" s="1024"/>
      <c r="C32" s="1024"/>
      <c r="D32" s="1024"/>
      <c r="E32" s="1024"/>
      <c r="F32" s="1024"/>
      <c r="G32" s="1024"/>
      <c r="H32" s="1024"/>
      <c r="I32" s="1024"/>
      <c r="J32" s="1024"/>
      <c r="K32" s="1024"/>
      <c r="L32" s="1024"/>
      <c r="M32" s="1024"/>
      <c r="N32" s="1024"/>
      <c r="O32" s="1024"/>
      <c r="P32" s="1024"/>
      <c r="Q32" s="1024"/>
      <c r="R32" s="1024"/>
      <c r="S32" s="1024"/>
      <c r="T32" s="1024"/>
      <c r="U32" s="1029"/>
      <c r="V32" s="1024"/>
      <c r="W32" s="1024"/>
    </row>
    <row r="33" s="55" customFormat="true" ht="15" hidden="false" customHeight="true" outlineLevel="0" collapsed="false">
      <c r="U33" s="1030"/>
    </row>
    <row r="34" s="177" customFormat="true" ht="15" hidden="false" customHeight="true" outlineLevel="0" collapsed="false">
      <c r="A34" s="55"/>
      <c r="B34" s="55"/>
      <c r="C34" s="142"/>
      <c r="D34" s="1035"/>
      <c r="E34" s="1035"/>
      <c r="F34" s="1035"/>
      <c r="G34" s="1035"/>
      <c r="H34" s="1035"/>
      <c r="I34" s="1035"/>
      <c r="J34" s="1035"/>
      <c r="K34" s="1036" t="s">
        <v>686</v>
      </c>
      <c r="L34" s="1037" t="s">
        <v>107</v>
      </c>
      <c r="M34" s="1038"/>
      <c r="N34" s="190"/>
      <c r="O34" s="144"/>
      <c r="P34" s="144"/>
      <c r="Q34" s="144"/>
      <c r="R34" s="144"/>
      <c r="S34" s="144"/>
      <c r="T34" s="144"/>
      <c r="U34" s="1034"/>
      <c r="V34" s="144"/>
      <c r="W34" s="144"/>
      <c r="X34" s="144"/>
      <c r="Y34" s="144" t="s">
        <v>117</v>
      </c>
      <c r="Z34" s="144" t="n">
        <v>1705000</v>
      </c>
      <c r="AA34" s="144"/>
      <c r="AB34" s="144"/>
      <c r="AC34" s="144"/>
      <c r="AD34" s="144"/>
      <c r="AE34" s="144"/>
      <c r="AF34" s="144"/>
      <c r="AG34" s="144"/>
      <c r="AH34" s="144"/>
      <c r="AI34" s="144"/>
      <c r="AJ34" s="144"/>
      <c r="AK34" s="144"/>
      <c r="AL34" s="144"/>
    </row>
    <row r="35" s="55" customFormat="true" ht="15" hidden="false" customHeight="true" outlineLevel="0" collapsed="false">
      <c r="U35" s="1030"/>
    </row>
    <row r="36" s="55" customFormat="true" ht="15" hidden="false" customHeight="true" outlineLevel="0" collapsed="false">
      <c r="U36" s="1030"/>
    </row>
    <row r="37" s="1024" customFormat="true" ht="11.25" hidden="false" customHeight="true" outlineLevel="0" collapsed="false">
      <c r="A37" s="1024" t="s">
        <v>1907</v>
      </c>
    </row>
    <row r="38" customFormat="false" ht="11.25" hidden="false" customHeight="true" outlineLevel="0" collapsed="false"/>
    <row r="39" s="284" customFormat="true" ht="22.5" hidden="false" customHeight="true" outlineLevel="0" collapsed="false">
      <c r="A39" s="307"/>
      <c r="B39" s="83"/>
      <c r="C39" s="1039"/>
      <c r="D39" s="310"/>
      <c r="E39" s="329"/>
      <c r="F39" s="336"/>
      <c r="G39" s="1035"/>
      <c r="H39" s="300"/>
    </row>
    <row r="40" customFormat="false" ht="11.25" hidden="false" customHeight="true" outlineLevel="0" collapsed="false"/>
    <row r="41" s="1024" customFormat="true" ht="11.25" hidden="false" customHeight="true" outlineLevel="0" collapsed="false">
      <c r="A41" s="1024" t="s">
        <v>1908</v>
      </c>
    </row>
    <row r="42" customFormat="false" ht="11.25" hidden="false" customHeight="true" outlineLevel="0" collapsed="false"/>
    <row r="43" s="284" customFormat="true" ht="22.5" hidden="false" customHeight="true" outlineLevel="0" collapsed="false">
      <c r="A43" s="83"/>
      <c r="B43" s="83"/>
      <c r="C43" s="83"/>
      <c r="D43" s="310"/>
      <c r="E43" s="329"/>
      <c r="F43" s="330"/>
      <c r="G43" s="1035"/>
      <c r="H43" s="300"/>
    </row>
    <row r="44" customFormat="false" ht="11.25" hidden="false" customHeight="true" outlineLevel="0" collapsed="false"/>
    <row r="45" s="1024" customFormat="true" ht="11.25" hidden="false" customHeight="true" outlineLevel="0" collapsed="false">
      <c r="A45" s="1024" t="s">
        <v>1909</v>
      </c>
    </row>
    <row r="46" customFormat="false" ht="11.25" hidden="false" customHeight="true" outlineLevel="0" collapsed="false"/>
    <row r="47" s="284" customFormat="true" ht="24" hidden="false" customHeight="true" outlineLevel="0" collapsed="false">
      <c r="A47" s="307" t="s">
        <v>310</v>
      </c>
      <c r="B47" s="291"/>
      <c r="C47" s="308"/>
      <c r="D47" s="301" t="str">
        <f aca="false">A47</f>
        <v>5.1</v>
      </c>
      <c r="E47" s="304" t="s">
        <v>311</v>
      </c>
      <c r="F47" s="220" t="s">
        <v>303</v>
      </c>
      <c r="G47" s="302" t="s">
        <v>312</v>
      </c>
      <c r="H47" s="300"/>
      <c r="I47" s="309"/>
    </row>
    <row r="48" s="284" customFormat="true" ht="22.5" hidden="false" customHeight="true" outlineLevel="0" collapsed="false">
      <c r="A48" s="307"/>
      <c r="B48" s="291"/>
      <c r="C48" s="308"/>
      <c r="D48" s="310" t="str">
        <f aca="false">D47&amp;".1"</f>
        <v>5.1.1</v>
      </c>
      <c r="E48" s="311" t="s">
        <v>313</v>
      </c>
      <c r="F48" s="305"/>
      <c r="G48" s="303"/>
      <c r="H48" s="300"/>
      <c r="I48" s="309"/>
    </row>
    <row r="49" s="284" customFormat="true" ht="22.5" hidden="false" customHeight="true" outlineLevel="0" collapsed="false">
      <c r="A49" s="307"/>
      <c r="B49" s="291"/>
      <c r="C49" s="308"/>
      <c r="D49" s="310" t="str">
        <f aca="false">D47&amp;".2"</f>
        <v>5.1.2</v>
      </c>
      <c r="E49" s="311" t="s">
        <v>314</v>
      </c>
      <c r="F49" s="81"/>
      <c r="G49" s="302" t="s">
        <v>315</v>
      </c>
      <c r="H49" s="300"/>
      <c r="I49" s="309"/>
    </row>
    <row r="50" s="284" customFormat="true" ht="22.5" hidden="false" customHeight="true" outlineLevel="0" collapsed="false">
      <c r="A50" s="307"/>
      <c r="B50" s="291"/>
      <c r="C50" s="308"/>
      <c r="D50" s="310" t="str">
        <f aca="false">D47&amp;".3"</f>
        <v>5.1.3</v>
      </c>
      <c r="E50" s="311" t="s">
        <v>316</v>
      </c>
      <c r="F50" s="305"/>
      <c r="G50" s="303"/>
      <c r="H50" s="300"/>
      <c r="I50" s="309"/>
    </row>
    <row r="51" s="284" customFormat="true" ht="22.5" hidden="false" customHeight="true" outlineLevel="0" collapsed="false">
      <c r="A51" s="307"/>
      <c r="B51" s="291"/>
      <c r="C51" s="308"/>
      <c r="D51" s="310" t="str">
        <f aca="false">D47&amp;".4"</f>
        <v>5.1.4</v>
      </c>
      <c r="E51" s="311" t="s">
        <v>317</v>
      </c>
      <c r="F51" s="305"/>
      <c r="G51" s="302" t="s">
        <v>318</v>
      </c>
      <c r="H51" s="300"/>
      <c r="I51" s="309"/>
    </row>
    <row r="54" s="1024" customFormat="true" ht="17.25" hidden="false" customHeight="true" outlineLevel="0" collapsed="false">
      <c r="A54" s="1024" t="s">
        <v>1910</v>
      </c>
    </row>
    <row r="56" s="60" customFormat="true" ht="18.75" hidden="false" customHeight="true" outlineLevel="0" collapsed="false">
      <c r="A56" s="55"/>
      <c r="B56" s="136"/>
      <c r="C56" s="136"/>
      <c r="D56" s="404"/>
      <c r="E56" s="572"/>
      <c r="F56" s="1040" t="n">
        <v>13</v>
      </c>
      <c r="G56" s="1041"/>
      <c r="H56" s="157"/>
      <c r="I56" s="158"/>
      <c r="J56" s="407" t="s">
        <v>64</v>
      </c>
      <c r="K56" s="1042"/>
      <c r="L56" s="55"/>
      <c r="M56" s="49"/>
      <c r="N56" s="49"/>
      <c r="O56" s="49"/>
      <c r="P56" s="402" t="s">
        <v>389</v>
      </c>
      <c r="Q56" s="402" t="s">
        <v>390</v>
      </c>
      <c r="R56" s="403" t="s">
        <v>391</v>
      </c>
      <c r="S56" s="49" t="s">
        <v>392</v>
      </c>
      <c r="T56" s="49"/>
      <c r="U56" s="49"/>
      <c r="V56" s="49"/>
    </row>
    <row r="58" s="1024" customFormat="true" ht="11.25" hidden="false" customHeight="true" outlineLevel="0" collapsed="false">
      <c r="A58" s="1024" t="s">
        <v>1911</v>
      </c>
    </row>
    <row r="60" s="42" customFormat="true" ht="14.25" hidden="false" customHeight="true" outlineLevel="0" collapsed="false">
      <c r="C60" s="328"/>
      <c r="D60" s="371"/>
      <c r="E60" s="324"/>
      <c r="F60" s="372"/>
      <c r="G60" s="373"/>
      <c r="H60" s="374"/>
      <c r="I60" s="374"/>
      <c r="J60" s="375"/>
      <c r="K60" s="376"/>
      <c r="L60" s="377"/>
      <c r="M60" s="376"/>
      <c r="N60" s="375"/>
      <c r="O60" s="376"/>
      <c r="P60" s="375"/>
      <c r="Q60" s="376"/>
      <c r="R60" s="375"/>
      <c r="S60" s="378"/>
      <c r="T60" s="374"/>
      <c r="U60" s="375"/>
      <c r="V60" s="375"/>
      <c r="W60" s="363"/>
      <c r="X60" s="374"/>
      <c r="Y60" s="375"/>
      <c r="Z60" s="375"/>
      <c r="AA60" s="363"/>
      <c r="AB60" s="374"/>
      <c r="AC60" s="375"/>
      <c r="AD60" s="363"/>
      <c r="AE60" s="55"/>
      <c r="AF60" s="55"/>
      <c r="AG60" s="55"/>
      <c r="AH60" s="55"/>
      <c r="AJ60" s="49"/>
      <c r="AK60" s="49"/>
      <c r="AL60" s="49"/>
      <c r="AM60" s="49"/>
      <c r="AN60" s="49"/>
      <c r="AO60" s="49"/>
      <c r="AP60" s="122" t="s">
        <v>378</v>
      </c>
      <c r="AQ60" s="122" t="s">
        <v>378</v>
      </c>
      <c r="AR60" s="49"/>
      <c r="AS60" s="49"/>
    </row>
    <row r="62" s="1024" customFormat="true" ht="11.25" hidden="false" customHeight="true" outlineLevel="0" collapsed="false">
      <c r="A62" s="1024" t="s">
        <v>1912</v>
      </c>
    </row>
    <row r="64" s="136" customFormat="true" ht="15" hidden="false" customHeight="true" outlineLevel="0" collapsed="false">
      <c r="A64" s="56" t="s">
        <v>88</v>
      </c>
      <c r="C64" s="275"/>
      <c r="D64" s="200"/>
      <c r="E64" s="332"/>
      <c r="F64" s="332"/>
      <c r="G64" s="444"/>
      <c r="H64" s="1042"/>
      <c r="I64" s="1043"/>
      <c r="K64" s="1009"/>
      <c r="L64" s="160"/>
    </row>
    <row r="66" s="1024" customFormat="true" ht="11.25" hidden="false" customHeight="true" outlineLevel="0" collapsed="false">
      <c r="A66" s="1024" t="s">
        <v>1913</v>
      </c>
    </row>
    <row r="68" s="42" customFormat="true" ht="14.25" hidden="false" customHeight="true" outlineLevel="0" collapsed="false">
      <c r="A68" s="136"/>
      <c r="B68" s="45"/>
      <c r="C68" s="470"/>
      <c r="D68" s="293"/>
      <c r="E68" s="1044"/>
      <c r="F68" s="1042"/>
      <c r="G68" s="55"/>
      <c r="I68" s="122"/>
      <c r="J68" s="122"/>
    </row>
    <row r="70" s="1024" customFormat="true" ht="11.25" hidden="false" customHeight="true" outlineLevel="0" collapsed="false">
      <c r="A70" s="1024" t="s">
        <v>1914</v>
      </c>
    </row>
    <row r="72" s="42" customFormat="true" ht="27" hidden="false" customHeight="true" outlineLevel="0" collapsed="false">
      <c r="A72" s="117"/>
      <c r="B72" s="117"/>
      <c r="C72" s="117"/>
      <c r="D72" s="45"/>
      <c r="E72" s="1045"/>
      <c r="F72" s="1046"/>
      <c r="G72" s="1047"/>
      <c r="H72" s="1048" t="s">
        <v>64</v>
      </c>
      <c r="I72" s="1049"/>
      <c r="J72" s="1050"/>
      <c r="K72" s="1051"/>
      <c r="L72" s="1052"/>
      <c r="M72" s="1052"/>
      <c r="N72" s="1053"/>
      <c r="O72" s="1053"/>
      <c r="P72" s="1054" t="e">
        <f aca="false">DATEDIF(DATEVALUE(N72),DATEVALUE(O72),"y")&amp;"г. "&amp;DATEDIF(DATEVALUE(N72),DATEVALUE(O72),"ym")&amp;"мес. "&amp;DATEVALUE(O72)-DATE(YEAR(DATEVALUE(O72)),MONTH(DATEVALUE(O72)),1)&amp;"дн. "</f>
        <v>#VALUE!</v>
      </c>
      <c r="Q72" s="1055"/>
      <c r="R72" s="1055"/>
      <c r="S72" s="1055"/>
      <c r="T72" s="1050"/>
      <c r="U72" s="1055"/>
      <c r="V72" s="1055"/>
      <c r="W72" s="1055"/>
      <c r="X72" s="1050"/>
      <c r="Y72" s="1048" t="s">
        <v>64</v>
      </c>
      <c r="Z72" s="261"/>
      <c r="AA72" s="150" t="n">
        <v>1</v>
      </c>
      <c r="AB72" s="1056"/>
      <c r="AD72" s="49" t="s">
        <v>1915</v>
      </c>
    </row>
    <row r="73" s="42" customFormat="true" ht="10.5" hidden="false" customHeight="true" outlineLevel="0" collapsed="false">
      <c r="A73" s="117"/>
      <c r="B73" s="117"/>
      <c r="C73" s="117"/>
      <c r="D73" s="45"/>
      <c r="E73" s="1057"/>
      <c r="F73" s="1046"/>
      <c r="G73" s="1047"/>
      <c r="H73" s="1048"/>
      <c r="I73" s="1049"/>
      <c r="J73" s="1050"/>
      <c r="K73" s="1051"/>
      <c r="L73" s="1052"/>
      <c r="M73" s="1052"/>
      <c r="N73" s="1053"/>
      <c r="O73" s="1053"/>
      <c r="P73" s="1054"/>
      <c r="Q73" s="1055"/>
      <c r="R73" s="1055"/>
      <c r="S73" s="1055"/>
      <c r="T73" s="1050"/>
      <c r="U73" s="1055"/>
      <c r="V73" s="1055"/>
      <c r="W73" s="1055"/>
      <c r="X73" s="1050"/>
      <c r="Y73" s="1048"/>
      <c r="Z73" s="731"/>
      <c r="AA73" s="644"/>
      <c r="AB73" s="209" t="s">
        <v>1916</v>
      </c>
    </row>
    <row r="75" s="1024" customFormat="true" ht="11.25" hidden="false" customHeight="true" outlineLevel="0" collapsed="false">
      <c r="A75" s="1024" t="s">
        <v>1917</v>
      </c>
    </row>
    <row r="77" s="42" customFormat="true" ht="27" hidden="false" customHeight="true" outlineLevel="0" collapsed="false">
      <c r="A77" s="117"/>
      <c r="B77" s="117"/>
      <c r="C77" s="117"/>
      <c r="D77" s="45"/>
      <c r="E77" s="1045"/>
      <c r="F77" s="1058"/>
      <c r="G77" s="1059"/>
      <c r="H77" s="1060"/>
      <c r="I77" s="1061"/>
      <c r="J77" s="1062"/>
      <c r="K77" s="1063"/>
      <c r="L77" s="1064"/>
      <c r="M77" s="1064"/>
      <c r="N77" s="1065"/>
      <c r="O77" s="1065"/>
      <c r="P77" s="1066"/>
      <c r="Q77" s="1067"/>
      <c r="R77" s="1067"/>
      <c r="S77" s="1067"/>
      <c r="T77" s="1062"/>
      <c r="U77" s="1067"/>
      <c r="V77" s="1067"/>
      <c r="W77" s="1067"/>
      <c r="X77" s="1062"/>
      <c r="Y77" s="1060"/>
      <c r="Z77" s="261"/>
      <c r="AA77" s="150" t="n">
        <v>1</v>
      </c>
      <c r="AB77" s="1056"/>
      <c r="AD77" s="49" t="s">
        <v>1915</v>
      </c>
    </row>
    <row r="79" s="1024" customFormat="true" ht="11.25" hidden="false" customHeight="true" outlineLevel="0" collapsed="false">
      <c r="A79" s="1024" t="s">
        <v>1918</v>
      </c>
    </row>
    <row r="80" customFormat="false" ht="17.25" hidden="false" customHeight="true" outlineLevel="0" collapsed="false"/>
    <row r="81" s="42" customFormat="true" ht="21" hidden="false" customHeight="true" outlineLevel="0" collapsed="false">
      <c r="A81" s="462"/>
      <c r="B81" s="117"/>
      <c r="C81" s="117"/>
      <c r="D81" s="45"/>
      <c r="E81" s="83"/>
      <c r="F81" s="1068" t="e">
        <f aca="false">INDEX(IP_MAIN_LIST_NAME_IP,MATCH(A81,IP_MAIN_LIST_IP_ID,0))&amp;" ("&amp;INDEX(IP_MAIN_START_DATE,MATCH(A81,IP_MAIN_LIST_IP_ID,0))&amp;"-"&amp;INDEX(IP_MAIN_END_DATE,MATCH(A81,IP_MAIN_LIST_IP_ID,0))&amp;")"</f>
        <v>#N/A</v>
      </c>
      <c r="G81" s="1069"/>
      <c r="H81" s="1069"/>
      <c r="I81" s="1070"/>
      <c r="J81" s="1070"/>
      <c r="K81" s="1071"/>
      <c r="L81" s="1071"/>
      <c r="M81" s="1071"/>
      <c r="N81" s="1072"/>
      <c r="O81" s="1072"/>
      <c r="P81" s="1072"/>
      <c r="Q81" s="1072"/>
      <c r="R81" s="1072"/>
      <c r="S81" s="1072"/>
      <c r="T81" s="1072"/>
      <c r="U81" s="1072"/>
      <c r="V81" s="1072"/>
      <c r="W81" s="1072"/>
      <c r="X81" s="1072"/>
      <c r="Y81" s="1072"/>
      <c r="Z81" s="1072"/>
      <c r="AA81" s="1072"/>
      <c r="AB81" s="1072"/>
      <c r="AC81" s="1072"/>
      <c r="AD81" s="1072"/>
      <c r="AE81" s="1073"/>
      <c r="AF81" s="1071"/>
      <c r="AG81" s="1071"/>
      <c r="AH81" s="1071"/>
      <c r="AI81" s="1071"/>
      <c r="AJ81" s="1071"/>
      <c r="AK81" s="1071"/>
      <c r="AL81" s="804"/>
      <c r="AM81" s="136"/>
      <c r="AN81" s="136"/>
      <c r="AO81" s="136"/>
      <c r="AP81" s="136"/>
      <c r="AQ81" s="136"/>
      <c r="AR81" s="136"/>
      <c r="AS81" s="136"/>
      <c r="AT81" s="136"/>
      <c r="AU81" s="136"/>
      <c r="AV81" s="136"/>
      <c r="AW81" s="136"/>
      <c r="AX81" s="136"/>
      <c r="AY81" s="136"/>
      <c r="AZ81" s="136"/>
      <c r="BA81" s="136"/>
      <c r="BB81" s="136"/>
      <c r="BC81" s="136"/>
      <c r="BD81" s="136"/>
      <c r="BE81" s="136"/>
      <c r="BF81" s="136"/>
    </row>
    <row r="82" s="42" customFormat="true" ht="0.75" hidden="false" customHeight="true" outlineLevel="0" collapsed="false">
      <c r="A82" s="117"/>
      <c r="B82" s="117"/>
      <c r="C82" s="117"/>
      <c r="D82" s="45"/>
      <c r="E82" s="83"/>
      <c r="F82" s="1074"/>
      <c r="G82" s="1037"/>
      <c r="H82" s="1075" t="s">
        <v>373</v>
      </c>
      <c r="I82" s="1076"/>
      <c r="J82" s="153"/>
      <c r="K82" s="153"/>
      <c r="L82" s="1077"/>
      <c r="M82" s="467"/>
      <c r="N82" s="1078"/>
      <c r="O82" s="1079"/>
      <c r="P82" s="1078"/>
      <c r="Q82" s="1078"/>
      <c r="R82" s="1078"/>
      <c r="S82" s="1078"/>
      <c r="T82" s="1078"/>
      <c r="U82" s="1078"/>
      <c r="V82" s="1078"/>
      <c r="W82" s="1078"/>
      <c r="X82" s="1078"/>
      <c r="Y82" s="1078"/>
      <c r="Z82" s="1078"/>
      <c r="AA82" s="1078"/>
      <c r="AB82" s="1078"/>
      <c r="AC82" s="1078"/>
      <c r="AD82" s="1078"/>
      <c r="AE82" s="1078"/>
      <c r="AF82" s="1080"/>
      <c r="AG82" s="1077"/>
      <c r="AH82" s="1077"/>
      <c r="AI82" s="1080"/>
      <c r="AJ82" s="1077"/>
      <c r="AK82" s="1077"/>
      <c r="AL82" s="804"/>
      <c r="AM82" s="136"/>
      <c r="AN82" s="136"/>
      <c r="AO82" s="136"/>
      <c r="AP82" s="136"/>
      <c r="AQ82" s="136"/>
      <c r="AR82" s="136"/>
      <c r="AS82" s="136"/>
      <c r="AT82" s="136"/>
      <c r="AU82" s="136"/>
      <c r="AV82" s="136"/>
      <c r="AW82" s="136"/>
      <c r="AX82" s="136"/>
      <c r="AY82" s="136"/>
      <c r="AZ82" s="136"/>
      <c r="BA82" s="136"/>
      <c r="BB82" s="136"/>
      <c r="BC82" s="136"/>
      <c r="BD82" s="136"/>
      <c r="BE82" s="136"/>
      <c r="BF82" s="136"/>
    </row>
    <row r="83" s="42" customFormat="true" ht="0.75" hidden="false" customHeight="true" outlineLevel="0" collapsed="false">
      <c r="A83" s="117"/>
      <c r="B83" s="117"/>
      <c r="C83" s="117"/>
      <c r="D83" s="45"/>
      <c r="E83" s="83"/>
      <c r="F83" s="1074"/>
      <c r="G83" s="1037"/>
      <c r="H83" s="1075"/>
      <c r="I83" s="1076"/>
      <c r="J83" s="153"/>
      <c r="K83" s="153"/>
      <c r="L83" s="1077"/>
      <c r="M83" s="467"/>
      <c r="N83" s="1081"/>
      <c r="O83" s="1082"/>
      <c r="P83" s="1083"/>
      <c r="Q83" s="153"/>
      <c r="R83" s="153"/>
      <c r="S83" s="153"/>
      <c r="T83" s="153"/>
      <c r="U83" s="153"/>
      <c r="V83" s="153"/>
      <c r="W83" s="153"/>
      <c r="X83" s="153"/>
      <c r="Y83" s="153"/>
      <c r="Z83" s="1084"/>
      <c r="AA83" s="1085"/>
      <c r="AB83" s="1085"/>
      <c r="AC83" s="1086"/>
      <c r="AD83" s="1086"/>
      <c r="AE83" s="1087"/>
      <c r="AF83" s="1080"/>
      <c r="AG83" s="1077"/>
      <c r="AH83" s="1077"/>
      <c r="AI83" s="1080"/>
      <c r="AJ83" s="1077"/>
      <c r="AK83" s="1077"/>
      <c r="AL83" s="804"/>
      <c r="AM83" s="136"/>
      <c r="AN83" s="136"/>
      <c r="AO83" s="136"/>
      <c r="AP83" s="136"/>
      <c r="AQ83" s="136"/>
      <c r="AR83" s="136"/>
      <c r="AS83" s="136"/>
      <c r="AT83" s="136"/>
      <c r="AU83" s="136"/>
      <c r="AV83" s="136"/>
      <c r="AW83" s="136"/>
      <c r="AX83" s="136"/>
      <c r="AY83" s="136"/>
      <c r="AZ83" s="136"/>
      <c r="BA83" s="136"/>
      <c r="BB83" s="136"/>
      <c r="BC83" s="136"/>
      <c r="BD83" s="136"/>
      <c r="BE83" s="136"/>
      <c r="BF83" s="136"/>
    </row>
    <row r="84" s="42" customFormat="true" ht="0.75" hidden="false" customHeight="true" outlineLevel="0" collapsed="false">
      <c r="A84" s="117"/>
      <c r="B84" s="117"/>
      <c r="C84" s="117"/>
      <c r="D84" s="45"/>
      <c r="E84" s="83"/>
      <c r="F84" s="1074"/>
      <c r="G84" s="1037"/>
      <c r="H84" s="1075"/>
      <c r="I84" s="1076"/>
      <c r="J84" s="153"/>
      <c r="K84" s="153"/>
      <c r="L84" s="1077"/>
      <c r="M84" s="467"/>
      <c r="N84" s="1081"/>
      <c r="O84" s="1082"/>
      <c r="P84" s="1083"/>
      <c r="Q84" s="153"/>
      <c r="R84" s="153"/>
      <c r="S84" s="153"/>
      <c r="T84" s="153"/>
      <c r="U84" s="153"/>
      <c r="V84" s="153"/>
      <c r="W84" s="153"/>
      <c r="X84" s="153"/>
      <c r="Y84" s="153"/>
      <c r="Z84" s="1088"/>
      <c r="AA84" s="1082"/>
      <c r="AB84" s="1089"/>
      <c r="AC84" s="1090"/>
      <c r="AD84" s="1089"/>
      <c r="AE84" s="1090"/>
      <c r="AF84" s="1080"/>
      <c r="AG84" s="1077"/>
      <c r="AH84" s="1077"/>
      <c r="AI84" s="1080"/>
      <c r="AJ84" s="1077"/>
      <c r="AK84" s="1077"/>
      <c r="AL84" s="804"/>
      <c r="AM84" s="136"/>
      <c r="AN84" s="136"/>
      <c r="AO84" s="136"/>
      <c r="AP84" s="136"/>
      <c r="AQ84" s="136"/>
      <c r="AR84" s="136"/>
      <c r="AS84" s="136"/>
      <c r="AT84" s="136"/>
      <c r="AU84" s="136"/>
      <c r="AV84" s="136"/>
      <c r="AW84" s="136"/>
      <c r="AX84" s="136"/>
      <c r="AY84" s="136"/>
      <c r="AZ84" s="136"/>
      <c r="BA84" s="136"/>
      <c r="BB84" s="136"/>
      <c r="BC84" s="136"/>
      <c r="BD84" s="136"/>
      <c r="BE84" s="136"/>
      <c r="BF84" s="136"/>
    </row>
    <row r="85" s="42" customFormat="true" ht="0.75" hidden="false" customHeight="true" outlineLevel="0" collapsed="false">
      <c r="A85" s="117"/>
      <c r="B85" s="117"/>
      <c r="C85" s="117"/>
      <c r="D85" s="45"/>
      <c r="E85" s="83"/>
      <c r="F85" s="1074"/>
      <c r="G85" s="1037"/>
      <c r="H85" s="1075"/>
      <c r="I85" s="1076"/>
      <c r="J85" s="153"/>
      <c r="K85" s="153"/>
      <c r="L85" s="1077"/>
      <c r="M85" s="467"/>
      <c r="N85" s="1081"/>
      <c r="O85" s="1082"/>
      <c r="P85" s="1083"/>
      <c r="Q85" s="153"/>
      <c r="R85" s="153"/>
      <c r="S85" s="153"/>
      <c r="T85" s="153"/>
      <c r="U85" s="153"/>
      <c r="V85" s="153"/>
      <c r="W85" s="153"/>
      <c r="X85" s="153"/>
      <c r="Y85" s="153"/>
      <c r="Z85" s="1084"/>
      <c r="AA85" s="1085"/>
      <c r="AB85" s="1091"/>
      <c r="AC85" s="1086"/>
      <c r="AD85" s="1086"/>
      <c r="AE85" s="1092"/>
      <c r="AF85" s="1080"/>
      <c r="AG85" s="1077"/>
      <c r="AH85" s="1077"/>
      <c r="AI85" s="1080"/>
      <c r="AJ85" s="1077"/>
      <c r="AK85" s="1077"/>
      <c r="AL85" s="804"/>
      <c r="AM85" s="136"/>
      <c r="AN85" s="136"/>
      <c r="AO85" s="136"/>
      <c r="AP85" s="136"/>
      <c r="AQ85" s="136"/>
      <c r="AR85" s="136"/>
      <c r="AS85" s="136"/>
      <c r="AT85" s="136"/>
      <c r="AU85" s="136"/>
      <c r="AV85" s="136"/>
      <c r="AW85" s="136"/>
      <c r="AX85" s="136"/>
      <c r="AY85" s="136"/>
      <c r="AZ85" s="136"/>
      <c r="BA85" s="136"/>
      <c r="BB85" s="136"/>
      <c r="BC85" s="136"/>
      <c r="BD85" s="136"/>
      <c r="BE85" s="136"/>
      <c r="BF85" s="136"/>
    </row>
    <row r="86" s="42" customFormat="true" ht="0.75" hidden="false" customHeight="true" outlineLevel="0" collapsed="false">
      <c r="A86" s="117"/>
      <c r="B86" s="117"/>
      <c r="C86" s="117"/>
      <c r="D86" s="45"/>
      <c r="E86" s="83"/>
      <c r="F86" s="1074"/>
      <c r="G86" s="1037"/>
      <c r="H86" s="1075"/>
      <c r="I86" s="1076"/>
      <c r="J86" s="153"/>
      <c r="K86" s="153"/>
      <c r="L86" s="1077"/>
      <c r="M86" s="467"/>
      <c r="N86" s="1085"/>
      <c r="O86" s="1085"/>
      <c r="P86" s="1091"/>
      <c r="Q86" s="1085"/>
      <c r="R86" s="1085"/>
      <c r="S86" s="1085"/>
      <c r="T86" s="1085"/>
      <c r="U86" s="1085"/>
      <c r="V86" s="1085"/>
      <c r="W86" s="1085"/>
      <c r="X86" s="1085"/>
      <c r="Y86" s="1085"/>
      <c r="Z86" s="1085"/>
      <c r="AA86" s="1085"/>
      <c r="AB86" s="1085"/>
      <c r="AC86" s="1085"/>
      <c r="AD86" s="1085"/>
      <c r="AE86" s="1093"/>
      <c r="AF86" s="1080"/>
      <c r="AG86" s="1077"/>
      <c r="AH86" s="1077"/>
      <c r="AI86" s="1080"/>
      <c r="AJ86" s="1077"/>
      <c r="AK86" s="1077"/>
      <c r="AL86" s="804"/>
      <c r="AM86" s="136"/>
      <c r="AN86" s="136"/>
      <c r="AO86" s="136"/>
      <c r="AP86" s="136"/>
      <c r="AQ86" s="136"/>
      <c r="AR86" s="136"/>
      <c r="AS86" s="136"/>
      <c r="AT86" s="136"/>
      <c r="AU86" s="136"/>
      <c r="AV86" s="136"/>
      <c r="AW86" s="136"/>
      <c r="AX86" s="136"/>
      <c r="AY86" s="136"/>
      <c r="AZ86" s="136"/>
      <c r="BA86" s="136"/>
      <c r="BB86" s="136"/>
      <c r="BC86" s="136"/>
      <c r="BD86" s="136"/>
      <c r="BE86" s="136"/>
      <c r="BF86" s="136"/>
    </row>
    <row r="87" s="42" customFormat="true" ht="12" hidden="false" customHeight="true" outlineLevel="0" collapsed="false">
      <c r="A87" s="117"/>
      <c r="B87" s="117"/>
      <c r="C87" s="117"/>
      <c r="D87" s="45"/>
      <c r="E87" s="83"/>
      <c r="F87" s="1074"/>
      <c r="G87" s="1094"/>
      <c r="H87" s="1094"/>
      <c r="I87" s="1095" t="s">
        <v>1919</v>
      </c>
      <c r="J87" s="1095"/>
      <c r="K87" s="1095"/>
      <c r="L87" s="1096"/>
      <c r="M87" s="1096"/>
      <c r="N87" s="1097"/>
      <c r="O87" s="1097"/>
      <c r="P87" s="1097"/>
      <c r="Q87" s="1097"/>
      <c r="R87" s="1097"/>
      <c r="S87" s="1097"/>
      <c r="T87" s="1097"/>
      <c r="U87" s="1097"/>
      <c r="V87" s="1097"/>
      <c r="W87" s="1097"/>
      <c r="X87" s="1097"/>
      <c r="Y87" s="1097"/>
      <c r="Z87" s="1097"/>
      <c r="AA87" s="1097"/>
      <c r="AB87" s="1097"/>
      <c r="AC87" s="1097"/>
      <c r="AD87" s="1097"/>
      <c r="AE87" s="1097"/>
      <c r="AF87" s="1097"/>
      <c r="AG87" s="1096"/>
      <c r="AH87" s="1096"/>
      <c r="AI87" s="1097"/>
      <c r="AJ87" s="1096"/>
      <c r="AK87" s="1097"/>
      <c r="AL87" s="804"/>
      <c r="AM87" s="136"/>
      <c r="AN87" s="136"/>
      <c r="AO87" s="136"/>
      <c r="AP87" s="136"/>
      <c r="AQ87" s="136"/>
      <c r="AR87" s="136"/>
      <c r="AS87" s="136"/>
      <c r="AT87" s="136"/>
      <c r="AU87" s="136"/>
      <c r="AV87" s="136"/>
      <c r="AW87" s="136"/>
      <c r="AX87" s="136"/>
      <c r="AY87" s="136"/>
      <c r="AZ87" s="136"/>
      <c r="BA87" s="136"/>
      <c r="BB87" s="136"/>
      <c r="BC87" s="136"/>
      <c r="BD87" s="136"/>
      <c r="BE87" s="136"/>
      <c r="BF87" s="136"/>
    </row>
    <row r="89" s="1024" customFormat="true" ht="11.25" hidden="false" customHeight="true" outlineLevel="0" collapsed="false">
      <c r="A89" s="1024" t="s">
        <v>1920</v>
      </c>
    </row>
    <row r="91" s="42" customFormat="true" ht="11.25" hidden="false" customHeight="true" outlineLevel="0" collapsed="false">
      <c r="A91" s="117"/>
      <c r="B91" s="117"/>
      <c r="C91" s="117"/>
      <c r="D91" s="45"/>
      <c r="E91" s="83"/>
      <c r="F91" s="1098"/>
      <c r="G91" s="1099"/>
      <c r="H91" s="1099"/>
      <c r="I91" s="1100"/>
      <c r="J91" s="1100"/>
      <c r="K91" s="1101"/>
      <c r="L91" s="1100"/>
      <c r="M91" s="1099"/>
      <c r="N91" s="1102"/>
      <c r="O91" s="1103" t="n">
        <v>1</v>
      </c>
      <c r="P91" s="78" t="s">
        <v>19</v>
      </c>
      <c r="Q91" s="397"/>
      <c r="R91" s="397"/>
      <c r="S91" s="397"/>
      <c r="T91" s="397"/>
      <c r="U91" s="397"/>
      <c r="V91" s="397"/>
      <c r="W91" s="397"/>
      <c r="X91" s="397"/>
      <c r="Y91" s="397"/>
      <c r="Z91" s="1104"/>
      <c r="AA91" s="1105"/>
      <c r="AB91" s="1105"/>
      <c r="AC91" s="1106"/>
      <c r="AD91" s="1106"/>
      <c r="AE91" s="1106"/>
      <c r="AF91" s="1107"/>
      <c r="AG91" s="1108"/>
      <c r="AH91" s="1108"/>
      <c r="AI91" s="1107"/>
      <c r="AJ91" s="1108"/>
      <c r="AK91" s="1109"/>
      <c r="AL91" s="804"/>
      <c r="AM91" s="136"/>
      <c r="AN91" s="136"/>
      <c r="AO91" s="136"/>
      <c r="AP91" s="136"/>
      <c r="AQ91" s="136"/>
      <c r="AR91" s="136"/>
      <c r="AS91" s="136"/>
      <c r="AT91" s="136"/>
      <c r="AU91" s="136"/>
      <c r="AV91" s="136"/>
      <c r="AW91" s="136"/>
      <c r="AX91" s="136"/>
      <c r="AY91" s="136"/>
      <c r="AZ91" s="136"/>
      <c r="BA91" s="136"/>
      <c r="BB91" s="136"/>
      <c r="BC91" s="136"/>
      <c r="BD91" s="136"/>
      <c r="BE91" s="136"/>
      <c r="BF91" s="136"/>
    </row>
    <row r="92" s="42" customFormat="true" ht="11.25" hidden="false" customHeight="true" outlineLevel="0" collapsed="false">
      <c r="A92" s="117"/>
      <c r="B92" s="117"/>
      <c r="C92" s="117"/>
      <c r="D92" s="45"/>
      <c r="E92" s="83"/>
      <c r="F92" s="1098"/>
      <c r="G92" s="1099"/>
      <c r="H92" s="1099"/>
      <c r="I92" s="1110"/>
      <c r="J92" s="1110"/>
      <c r="K92" s="1101"/>
      <c r="L92" s="1110"/>
      <c r="M92" s="1099"/>
      <c r="N92" s="1102"/>
      <c r="O92" s="1103"/>
      <c r="P92" s="78"/>
      <c r="Q92" s="397"/>
      <c r="R92" s="397"/>
      <c r="S92" s="397"/>
      <c r="T92" s="397"/>
      <c r="U92" s="397"/>
      <c r="V92" s="397"/>
      <c r="W92" s="397"/>
      <c r="X92" s="397"/>
      <c r="Y92" s="397"/>
      <c r="Z92" s="1111"/>
      <c r="AA92" s="1103" t="n">
        <v>1</v>
      </c>
      <c r="AB92" s="1112"/>
      <c r="AC92" s="758"/>
      <c r="AD92" s="1112" t="n">
        <f aca="false">AB92</f>
        <v>0</v>
      </c>
      <c r="AE92" s="774"/>
      <c r="AF92" s="1101"/>
      <c r="AG92" s="1108"/>
      <c r="AH92" s="1108"/>
      <c r="AI92" s="1101"/>
      <c r="AJ92" s="1108"/>
      <c r="AK92" s="1109"/>
      <c r="AL92" s="804"/>
      <c r="AM92" s="136"/>
      <c r="AN92" s="136"/>
      <c r="AO92" s="136"/>
      <c r="AP92" s="136"/>
      <c r="AQ92" s="136"/>
      <c r="AR92" s="136"/>
      <c r="AS92" s="136"/>
      <c r="AT92" s="136"/>
      <c r="AU92" s="136"/>
      <c r="AV92" s="136"/>
      <c r="AW92" s="136"/>
      <c r="AX92" s="136"/>
      <c r="AY92" s="136"/>
      <c r="AZ92" s="136"/>
      <c r="BA92" s="136"/>
      <c r="BB92" s="136"/>
      <c r="BC92" s="136"/>
      <c r="BD92" s="136"/>
      <c r="BE92" s="136"/>
      <c r="BF92" s="136"/>
    </row>
    <row r="93" s="42" customFormat="true" ht="11.25" hidden="false" customHeight="true" outlineLevel="0" collapsed="false">
      <c r="A93" s="117"/>
      <c r="B93" s="117"/>
      <c r="C93" s="117"/>
      <c r="D93" s="45"/>
      <c r="E93" s="83"/>
      <c r="F93" s="1098"/>
      <c r="G93" s="1099"/>
      <c r="H93" s="1099"/>
      <c r="I93" s="1113"/>
      <c r="J93" s="1113"/>
      <c r="K93" s="1101"/>
      <c r="L93" s="1113"/>
      <c r="M93" s="1099"/>
      <c r="N93" s="1102"/>
      <c r="O93" s="1103"/>
      <c r="P93" s="78"/>
      <c r="Q93" s="397"/>
      <c r="R93" s="397"/>
      <c r="S93" s="397"/>
      <c r="T93" s="397"/>
      <c r="U93" s="397"/>
      <c r="V93" s="397"/>
      <c r="W93" s="397"/>
      <c r="X93" s="397"/>
      <c r="Y93" s="397"/>
      <c r="Z93" s="1104"/>
      <c r="AA93" s="1105"/>
      <c r="AB93" s="165" t="s">
        <v>1921</v>
      </c>
      <c r="AC93" s="1106"/>
      <c r="AD93" s="1106"/>
      <c r="AE93" s="1106"/>
      <c r="AF93" s="1114"/>
      <c r="AG93" s="1108"/>
      <c r="AH93" s="1108"/>
      <c r="AI93" s="1114"/>
      <c r="AJ93" s="1108"/>
      <c r="AK93" s="1109"/>
      <c r="AL93" s="804"/>
      <c r="AM93" s="136"/>
      <c r="AN93" s="136"/>
      <c r="AO93" s="136"/>
      <c r="AP93" s="136"/>
      <c r="AQ93" s="136"/>
      <c r="AR93" s="136"/>
      <c r="AS93" s="136"/>
      <c r="AT93" s="136"/>
      <c r="AU93" s="136"/>
      <c r="AV93" s="136"/>
      <c r="AW93" s="136"/>
      <c r="AX93" s="136"/>
      <c r="AY93" s="136"/>
      <c r="AZ93" s="136"/>
      <c r="BA93" s="136"/>
      <c r="BB93" s="136"/>
      <c r="BC93" s="136"/>
      <c r="BD93" s="136"/>
      <c r="BE93" s="136"/>
      <c r="BF93" s="136"/>
    </row>
    <row r="95" s="1024" customFormat="true" ht="11.25" hidden="false" customHeight="true" outlineLevel="0" collapsed="false">
      <c r="A95" s="1024" t="s">
        <v>1922</v>
      </c>
    </row>
    <row r="97" s="42" customFormat="true" ht="11.25" hidden="false" customHeight="true" outlineLevel="0" collapsed="false">
      <c r="A97" s="117"/>
      <c r="B97" s="117"/>
      <c r="C97" s="117"/>
      <c r="D97" s="45"/>
      <c r="E97" s="83"/>
      <c r="F97" s="1099"/>
      <c r="G97" s="1099"/>
      <c r="H97" s="1099"/>
      <c r="I97" s="1099"/>
      <c r="J97" s="1099"/>
      <c r="K97" s="1099"/>
      <c r="L97" s="1099"/>
      <c r="M97" s="1099"/>
      <c r="N97" s="1099"/>
      <c r="O97" s="1099"/>
      <c r="P97" s="1099"/>
      <c r="Q97" s="1099"/>
      <c r="R97" s="1099"/>
      <c r="S97" s="1099"/>
      <c r="T97" s="1099"/>
      <c r="U97" s="1099"/>
      <c r="V97" s="1099"/>
      <c r="W97" s="1099"/>
      <c r="X97" s="1099"/>
      <c r="Y97" s="1099"/>
      <c r="Z97" s="1115"/>
      <c r="AA97" s="1116" t="n">
        <v>1</v>
      </c>
      <c r="AB97" s="1112"/>
      <c r="AC97" s="758"/>
      <c r="AD97" s="1112" t="n">
        <f aca="false">AB97</f>
        <v>0</v>
      </c>
      <c r="AE97" s="758"/>
      <c r="AF97" s="1101"/>
      <c r="AG97" s="1108"/>
      <c r="AH97" s="1108"/>
      <c r="AI97" s="1101"/>
      <c r="AJ97" s="1108"/>
      <c r="AK97" s="1109"/>
      <c r="AL97" s="804"/>
      <c r="AM97" s="136"/>
      <c r="AN97" s="136"/>
      <c r="AO97" s="136"/>
      <c r="AP97" s="136"/>
      <c r="AQ97" s="136"/>
      <c r="AR97" s="136"/>
      <c r="AS97" s="136"/>
      <c r="AT97" s="136"/>
      <c r="AU97" s="136"/>
      <c r="AV97" s="136"/>
      <c r="AW97" s="136"/>
      <c r="AX97" s="136"/>
      <c r="AY97" s="136"/>
      <c r="AZ97" s="136"/>
      <c r="BA97" s="136"/>
      <c r="BB97" s="136"/>
      <c r="BC97" s="136"/>
      <c r="BD97" s="136"/>
      <c r="BE97" s="136"/>
      <c r="BF97" s="136"/>
    </row>
    <row r="99" s="1024" customFormat="true" ht="11.25" hidden="false" customHeight="true" outlineLevel="0" collapsed="false">
      <c r="A99" s="1024" t="s">
        <v>1923</v>
      </c>
    </row>
    <row r="101" s="42" customFormat="true" ht="11.25" hidden="false" customHeight="true" outlineLevel="0" collapsed="false">
      <c r="A101" s="117"/>
      <c r="B101" s="117"/>
      <c r="C101" s="117"/>
      <c r="D101" s="45"/>
      <c r="E101" s="83"/>
      <c r="F101" s="1098"/>
      <c r="G101" s="1099"/>
      <c r="H101" s="1037" t="s">
        <v>107</v>
      </c>
      <c r="I101" s="1117"/>
      <c r="J101" s="334"/>
      <c r="K101" s="332"/>
      <c r="L101" s="206" t="s">
        <v>19</v>
      </c>
      <c r="M101" s="200"/>
      <c r="N101" s="1118"/>
      <c r="O101" s="1119" t="s">
        <v>373</v>
      </c>
      <c r="P101" s="1120"/>
      <c r="Q101" s="1120"/>
      <c r="R101" s="1120"/>
      <c r="S101" s="1120"/>
      <c r="T101" s="1120"/>
      <c r="U101" s="1120"/>
      <c r="V101" s="1120"/>
      <c r="W101" s="1120"/>
      <c r="X101" s="1120"/>
      <c r="Y101" s="1120"/>
      <c r="Z101" s="1120"/>
      <c r="AA101" s="1120"/>
      <c r="AB101" s="1120"/>
      <c r="AC101" s="1120"/>
      <c r="AD101" s="1120"/>
      <c r="AE101" s="1120"/>
      <c r="AF101" s="1121"/>
      <c r="AG101" s="1122"/>
      <c r="AH101" s="1122"/>
      <c r="AI101" s="1121"/>
      <c r="AJ101" s="1122"/>
      <c r="AK101" s="1122"/>
      <c r="AL101" s="804"/>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row>
    <row r="102" s="42" customFormat="true" ht="11.25" hidden="false" customHeight="true" outlineLevel="0" collapsed="false">
      <c r="A102" s="117"/>
      <c r="B102" s="117"/>
      <c r="C102" s="117"/>
      <c r="D102" s="45"/>
      <c r="E102" s="83"/>
      <c r="F102" s="1098"/>
      <c r="G102" s="1099"/>
      <c r="H102" s="1037"/>
      <c r="I102" s="1117"/>
      <c r="J102" s="334"/>
      <c r="K102" s="332"/>
      <c r="L102" s="206"/>
      <c r="M102" s="200"/>
      <c r="N102" s="1102"/>
      <c r="O102" s="1116" t="n">
        <v>1</v>
      </c>
      <c r="P102" s="78" t="s">
        <v>19</v>
      </c>
      <c r="Q102" s="397"/>
      <c r="R102" s="397"/>
      <c r="S102" s="397"/>
      <c r="T102" s="397"/>
      <c r="U102" s="397"/>
      <c r="V102" s="397"/>
      <c r="W102" s="397"/>
      <c r="X102" s="397"/>
      <c r="Y102" s="397"/>
      <c r="Z102" s="1104"/>
      <c r="AA102" s="1105"/>
      <c r="AB102" s="1105"/>
      <c r="AC102" s="1106"/>
      <c r="AD102" s="1106"/>
      <c r="AE102" s="1123"/>
      <c r="AF102" s="1121"/>
      <c r="AG102" s="1122"/>
      <c r="AH102" s="1122"/>
      <c r="AI102" s="1121"/>
      <c r="AJ102" s="1122"/>
      <c r="AK102" s="1122"/>
      <c r="AL102" s="804"/>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row>
    <row r="103" s="42" customFormat="true" ht="11.25" hidden="false" customHeight="true" outlineLevel="0" collapsed="false">
      <c r="A103" s="117"/>
      <c r="B103" s="117"/>
      <c r="C103" s="117"/>
      <c r="D103" s="45"/>
      <c r="E103" s="83"/>
      <c r="F103" s="1098"/>
      <c r="G103" s="1099"/>
      <c r="H103" s="1037"/>
      <c r="I103" s="1117"/>
      <c r="J103" s="334"/>
      <c r="K103" s="332"/>
      <c r="L103" s="206"/>
      <c r="M103" s="200"/>
      <c r="N103" s="1102"/>
      <c r="O103" s="1116"/>
      <c r="P103" s="78"/>
      <c r="Q103" s="397"/>
      <c r="R103" s="397"/>
      <c r="S103" s="397"/>
      <c r="T103" s="397"/>
      <c r="U103" s="397"/>
      <c r="V103" s="397"/>
      <c r="W103" s="397"/>
      <c r="X103" s="397"/>
      <c r="Y103" s="397"/>
      <c r="Z103" s="1111"/>
      <c r="AA103" s="1103" t="n">
        <v>1</v>
      </c>
      <c r="AB103" s="1112"/>
      <c r="AC103" s="758"/>
      <c r="AD103" s="1112" t="n">
        <f aca="false">AB103</f>
        <v>0</v>
      </c>
      <c r="AE103" s="758"/>
      <c r="AF103" s="1121"/>
      <c r="AG103" s="1122"/>
      <c r="AH103" s="1122"/>
      <c r="AI103" s="1121"/>
      <c r="AJ103" s="1122"/>
      <c r="AK103" s="1122"/>
      <c r="AL103" s="804"/>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row>
    <row r="104" s="42" customFormat="true" ht="11.25" hidden="false" customHeight="true" outlineLevel="0" collapsed="false">
      <c r="A104" s="117"/>
      <c r="B104" s="117"/>
      <c r="C104" s="117"/>
      <c r="D104" s="45"/>
      <c r="E104" s="83"/>
      <c r="F104" s="1098"/>
      <c r="G104" s="1099"/>
      <c r="H104" s="1037"/>
      <c r="I104" s="1117"/>
      <c r="J104" s="334"/>
      <c r="K104" s="332"/>
      <c r="L104" s="206"/>
      <c r="M104" s="200"/>
      <c r="N104" s="1102"/>
      <c r="O104" s="1116"/>
      <c r="P104" s="78"/>
      <c r="Q104" s="397"/>
      <c r="R104" s="397"/>
      <c r="S104" s="397"/>
      <c r="T104" s="397"/>
      <c r="U104" s="397"/>
      <c r="V104" s="397"/>
      <c r="W104" s="397"/>
      <c r="X104" s="397"/>
      <c r="Y104" s="397"/>
      <c r="Z104" s="1104"/>
      <c r="AA104" s="1105"/>
      <c r="AB104" s="165" t="s">
        <v>1921</v>
      </c>
      <c r="AC104" s="1106"/>
      <c r="AD104" s="1106"/>
      <c r="AE104" s="1124"/>
      <c r="AF104" s="1121"/>
      <c r="AG104" s="1122"/>
      <c r="AH104" s="1122"/>
      <c r="AI104" s="1121"/>
      <c r="AJ104" s="1122"/>
      <c r="AK104" s="1122"/>
      <c r="AL104" s="804"/>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row>
    <row r="105" s="42" customFormat="true" ht="11.25" hidden="false" customHeight="true" outlineLevel="0" collapsed="false">
      <c r="A105" s="117"/>
      <c r="B105" s="117"/>
      <c r="C105" s="117"/>
      <c r="D105" s="45"/>
      <c r="E105" s="83"/>
      <c r="F105" s="1098"/>
      <c r="G105" s="1099"/>
      <c r="H105" s="1037"/>
      <c r="I105" s="1117"/>
      <c r="J105" s="334"/>
      <c r="K105" s="332"/>
      <c r="L105" s="206"/>
      <c r="M105" s="200"/>
      <c r="N105" s="1104"/>
      <c r="O105" s="1105"/>
      <c r="P105" s="165" t="s">
        <v>1924</v>
      </c>
      <c r="Q105" s="1105"/>
      <c r="R105" s="1105"/>
      <c r="S105" s="1105"/>
      <c r="T105" s="1105"/>
      <c r="U105" s="1105"/>
      <c r="V105" s="1105"/>
      <c r="W105" s="1105"/>
      <c r="X105" s="1105"/>
      <c r="Y105" s="1105"/>
      <c r="Z105" s="1105"/>
      <c r="AA105" s="1105"/>
      <c r="AB105" s="1105"/>
      <c r="AC105" s="1105"/>
      <c r="AD105" s="1105"/>
      <c r="AE105" s="1125"/>
      <c r="AF105" s="1121"/>
      <c r="AG105" s="1122"/>
      <c r="AH105" s="1122"/>
      <c r="AI105" s="1121"/>
      <c r="AJ105" s="1122"/>
      <c r="AK105" s="1122"/>
      <c r="AL105" s="804"/>
      <c r="AM105" s="136"/>
      <c r="AN105" s="136"/>
      <c r="AO105" s="136"/>
      <c r="AP105" s="136"/>
      <c r="AQ105" s="136"/>
      <c r="AR105" s="136"/>
      <c r="AS105" s="136"/>
      <c r="AT105" s="136"/>
      <c r="AU105" s="136"/>
      <c r="AV105" s="136"/>
      <c r="AW105" s="136"/>
      <c r="AX105" s="136"/>
      <c r="AY105" s="136"/>
      <c r="AZ105" s="136"/>
      <c r="BA105" s="136"/>
      <c r="BB105" s="136"/>
      <c r="BC105" s="136"/>
      <c r="BD105" s="136"/>
      <c r="BE105" s="136"/>
      <c r="BF105" s="136"/>
    </row>
    <row r="107" s="1024" customFormat="true" ht="11.25" hidden="false" customHeight="true" outlineLevel="0" collapsed="false">
      <c r="A107" s="1024" t="s">
        <v>1925</v>
      </c>
    </row>
    <row r="108" customFormat="false" ht="17.25" hidden="false" customHeight="true" outlineLevel="0" collapsed="false"/>
    <row r="109" s="810" customFormat="true" ht="21" hidden="false" customHeight="true" outlineLevel="0" collapsed="false">
      <c r="A109" s="462"/>
      <c r="B109" s="811"/>
      <c r="E109" s="830"/>
      <c r="F109" s="1126" t="e">
        <f aca="false">INDEX(IP_MAIN_LIST_NAME_IP,MATCH(A109,IP_MAIN_LIST_IP_ID,0))&amp;" ("&amp;INDEX(IP_MAIN_START_DATE,MATCH(A109,IP_MAIN_LIST_IP_ID,0))&amp;"-"&amp;INDEX(IP_MAIN_END_DATE,MATCH(A109,IP_MAIN_LIST_IP_ID,0))&amp;")"</f>
        <v>#N/A</v>
      </c>
      <c r="G109" s="1127"/>
      <c r="H109" s="1128"/>
      <c r="I109" s="1128"/>
      <c r="J109" s="1128"/>
      <c r="K109" s="1128"/>
      <c r="L109" s="1128"/>
      <c r="M109" s="1128"/>
      <c r="N109" s="1128"/>
      <c r="O109" s="1127"/>
      <c r="P109" s="1127"/>
      <c r="Q109" s="1127"/>
      <c r="R109" s="1127"/>
      <c r="S109" s="1127"/>
      <c r="T109" s="1127"/>
      <c r="U109" s="1129"/>
      <c r="V109" s="1129"/>
      <c r="W109" s="1129"/>
      <c r="X109" s="1129"/>
      <c r="Y109" s="1129"/>
      <c r="Z109" s="1129"/>
      <c r="AA109" s="1129"/>
      <c r="AB109" s="1127"/>
      <c r="AC109" s="1128"/>
      <c r="AD109" s="1128"/>
      <c r="AE109" s="1128"/>
      <c r="AF109" s="1128"/>
      <c r="AG109" s="1128"/>
      <c r="AH109" s="1128"/>
      <c r="AI109" s="1128"/>
      <c r="AJ109" s="1128"/>
      <c r="AK109" s="1128"/>
      <c r="AL109" s="1128"/>
      <c r="AM109" s="1128"/>
      <c r="AN109" s="1128"/>
      <c r="AO109" s="1128"/>
      <c r="AP109" s="1128"/>
      <c r="AQ109" s="1128"/>
      <c r="AR109" s="1128"/>
      <c r="AS109" s="1128"/>
      <c r="AT109" s="1128"/>
      <c r="AU109" s="1128"/>
      <c r="AV109" s="1128"/>
      <c r="AW109" s="1128"/>
      <c r="AX109" s="1128"/>
      <c r="AY109" s="1128"/>
      <c r="AZ109" s="1128"/>
      <c r="BA109" s="1128"/>
      <c r="BB109" s="1128"/>
      <c r="BC109" s="1128"/>
      <c r="BD109" s="1128"/>
      <c r="BE109" s="1128"/>
      <c r="BF109" s="1128"/>
      <c r="BG109" s="1128"/>
      <c r="BH109" s="1128"/>
      <c r="BI109" s="1128"/>
      <c r="BJ109" s="1128"/>
      <c r="BK109" s="1128"/>
      <c r="BL109" s="1128"/>
      <c r="BM109" s="1128"/>
      <c r="BN109" s="1128"/>
      <c r="BO109" s="1128"/>
      <c r="BP109" s="1128"/>
      <c r="BQ109" s="1128"/>
      <c r="BR109" s="1128"/>
      <c r="BS109" s="1128"/>
      <c r="BT109" s="1128"/>
      <c r="BU109" s="1128"/>
      <c r="BV109" s="1128"/>
      <c r="BW109" s="1128"/>
      <c r="BX109" s="1128"/>
      <c r="BY109" s="1128"/>
      <c r="BZ109" s="1128"/>
      <c r="CA109" s="1128"/>
      <c r="CB109" s="1128"/>
      <c r="CC109" s="1128"/>
      <c r="CD109" s="1128"/>
      <c r="CE109" s="1128"/>
      <c r="CF109" s="1128"/>
      <c r="CG109" s="1128"/>
      <c r="CH109" s="1128"/>
      <c r="CI109" s="1128"/>
      <c r="CJ109" s="1128"/>
      <c r="CK109" s="1128"/>
      <c r="CL109" s="1130"/>
      <c r="CM109" s="1130"/>
      <c r="CN109" s="1130"/>
      <c r="CO109" s="1130"/>
      <c r="CP109" s="1130"/>
      <c r="CQ109" s="1130"/>
      <c r="CR109" s="1130"/>
      <c r="CS109" s="1130"/>
      <c r="CT109" s="1130"/>
      <c r="CU109" s="1130"/>
      <c r="CV109" s="1130"/>
      <c r="CW109" s="1130"/>
      <c r="CX109" s="1130"/>
      <c r="CY109" s="1130"/>
      <c r="CZ109" s="1130"/>
      <c r="DA109" s="1130"/>
      <c r="DB109" s="1130"/>
      <c r="DC109" s="1130"/>
      <c r="DD109" s="1130"/>
      <c r="DE109" s="1130"/>
      <c r="DF109" s="1130"/>
      <c r="DG109" s="1130"/>
      <c r="DH109" s="1130"/>
      <c r="DI109" s="1130"/>
      <c r="DJ109" s="1130"/>
      <c r="DK109" s="1130"/>
      <c r="DL109" s="1130"/>
      <c r="DM109" s="1130"/>
      <c r="DN109" s="1130"/>
      <c r="DO109" s="1130"/>
      <c r="DP109" s="1130"/>
      <c r="DQ109" s="1130"/>
      <c r="DR109" s="1130"/>
      <c r="DS109" s="1130"/>
      <c r="DT109" s="1130"/>
      <c r="DU109" s="1130"/>
      <c r="DV109" s="1130"/>
      <c r="DW109" s="1130"/>
      <c r="DX109" s="1130"/>
      <c r="DY109" s="1130"/>
      <c r="DZ109" s="1130"/>
      <c r="EA109" s="1130"/>
      <c r="EB109" s="1130"/>
      <c r="EC109" s="1130"/>
      <c r="ED109" s="1130"/>
      <c r="EE109" s="1130"/>
      <c r="EF109" s="1130"/>
      <c r="EG109" s="1130"/>
      <c r="EH109" s="1130"/>
      <c r="EI109" s="1130"/>
      <c r="EJ109" s="1130"/>
      <c r="EK109" s="1130"/>
      <c r="EL109" s="1130"/>
      <c r="EM109" s="1130"/>
      <c r="EN109" s="1130"/>
      <c r="EO109" s="1130"/>
      <c r="EP109" s="1130"/>
      <c r="EQ109" s="1130"/>
      <c r="ER109" s="1130"/>
      <c r="ES109" s="1130"/>
      <c r="ET109" s="1130"/>
      <c r="EU109" s="1130"/>
      <c r="EV109" s="1130"/>
      <c r="EW109" s="1130"/>
      <c r="EX109" s="1130"/>
      <c r="EY109" s="1130"/>
      <c r="EZ109" s="1130"/>
      <c r="FA109" s="1130"/>
      <c r="FB109" s="1130"/>
      <c r="FC109" s="1130"/>
      <c r="FD109" s="1130"/>
      <c r="FE109" s="1130"/>
      <c r="FF109" s="1130"/>
      <c r="FG109" s="1130"/>
      <c r="FH109" s="1130"/>
      <c r="FI109" s="1130"/>
      <c r="FJ109" s="1130"/>
      <c r="FK109" s="1130"/>
      <c r="FL109" s="1130"/>
      <c r="FM109" s="1130"/>
      <c r="FN109" s="1130"/>
      <c r="FO109" s="1130"/>
      <c r="FP109" s="1130"/>
      <c r="FQ109" s="1130"/>
      <c r="FR109" s="1130"/>
      <c r="FS109" s="1130"/>
      <c r="FT109" s="1130"/>
      <c r="FU109" s="1130"/>
      <c r="FV109" s="1131"/>
      <c r="FW109" s="839"/>
      <c r="FX109" s="835"/>
    </row>
    <row r="110" s="810" customFormat="true" ht="24.75" hidden="false" customHeight="true" outlineLevel="0" collapsed="false">
      <c r="B110" s="811"/>
      <c r="E110" s="55"/>
      <c r="F110" s="729" t="n">
        <v>1</v>
      </c>
      <c r="G110" s="109"/>
      <c r="H110" s="102"/>
      <c r="I110" s="1132"/>
      <c r="J110" s="1133"/>
      <c r="K110" s="1133"/>
      <c r="L110" s="1133"/>
      <c r="M110" s="1133"/>
      <c r="N110" s="1133"/>
      <c r="O110" s="1134"/>
      <c r="P110" s="1134"/>
      <c r="Q110" s="1134"/>
      <c r="R110" s="1134"/>
      <c r="S110" s="1134"/>
      <c r="T110" s="1134"/>
      <c r="U110" s="1134"/>
      <c r="V110" s="1134"/>
      <c r="W110" s="1134"/>
      <c r="X110" s="1134"/>
      <c r="Y110" s="1134"/>
      <c r="Z110" s="1134"/>
      <c r="AA110" s="1134"/>
      <c r="AB110" s="1134"/>
      <c r="AC110" s="1133"/>
      <c r="AD110" s="1133"/>
      <c r="AE110" s="1133"/>
      <c r="AF110" s="1133"/>
      <c r="AG110" s="1133"/>
      <c r="AH110" s="1133"/>
      <c r="AI110" s="1133"/>
      <c r="AJ110" s="1133"/>
      <c r="AK110" s="1133"/>
      <c r="AL110" s="1133"/>
      <c r="AM110" s="1133"/>
      <c r="AN110" s="1133"/>
      <c r="AO110" s="1133"/>
      <c r="AP110" s="1133"/>
      <c r="AQ110" s="1133"/>
      <c r="AR110" s="1133"/>
      <c r="AS110" s="1133"/>
      <c r="AT110" s="1133"/>
      <c r="AU110" s="1133"/>
      <c r="AV110" s="1133"/>
      <c r="AW110" s="1133"/>
      <c r="AX110" s="1133"/>
      <c r="AY110" s="1133"/>
      <c r="AZ110" s="1133"/>
      <c r="BA110" s="1133"/>
      <c r="BB110" s="1133"/>
      <c r="BC110" s="1133"/>
      <c r="BD110" s="1133"/>
      <c r="BE110" s="1133"/>
      <c r="BF110" s="1133"/>
      <c r="BG110" s="1133"/>
      <c r="BH110" s="1133"/>
      <c r="BI110" s="1133"/>
      <c r="BJ110" s="1133"/>
      <c r="BK110" s="1133"/>
      <c r="BL110" s="1133"/>
      <c r="BM110" s="1133"/>
      <c r="BN110" s="1133"/>
      <c r="BO110" s="1133"/>
      <c r="BP110" s="1133"/>
      <c r="BQ110" s="1133"/>
      <c r="BR110" s="1133"/>
      <c r="BS110" s="1133"/>
      <c r="BT110" s="1134"/>
      <c r="BU110" s="1134"/>
      <c r="BV110" s="1134"/>
      <c r="BW110" s="1134"/>
      <c r="BX110" s="1134"/>
      <c r="BY110" s="1134"/>
      <c r="BZ110" s="1134"/>
      <c r="CA110" s="1134"/>
      <c r="CB110" s="1134"/>
      <c r="CC110" s="1134"/>
      <c r="CD110" s="1134"/>
      <c r="CE110" s="1134"/>
      <c r="CF110" s="1134"/>
      <c r="CG110" s="1134"/>
      <c r="CH110" s="1134"/>
      <c r="CI110" s="1134"/>
      <c r="CJ110" s="1134"/>
      <c r="CK110" s="1134"/>
      <c r="CL110" s="1133"/>
      <c r="CM110" s="1133"/>
      <c r="CN110" s="1133"/>
      <c r="CO110" s="1133"/>
      <c r="CP110" s="1133"/>
      <c r="CQ110" s="1133"/>
      <c r="CR110" s="1133"/>
      <c r="CS110" s="1133"/>
      <c r="CT110" s="1133"/>
      <c r="CU110" s="1133"/>
      <c r="CV110" s="1133"/>
      <c r="CW110" s="1133"/>
      <c r="CX110" s="1133"/>
      <c r="CY110" s="1134"/>
      <c r="CZ110" s="1134"/>
      <c r="DA110" s="1134"/>
      <c r="DB110" s="1134"/>
      <c r="DC110" s="1134"/>
      <c r="DD110" s="1134"/>
      <c r="DE110" s="1134"/>
      <c r="DF110" s="1134"/>
      <c r="DG110" s="1134"/>
      <c r="DH110" s="1134"/>
      <c r="DI110" s="1134"/>
      <c r="DJ110" s="1134"/>
      <c r="DK110" s="1133"/>
      <c r="DL110" s="1133"/>
      <c r="DM110" s="1133"/>
      <c r="DN110" s="1133"/>
      <c r="DO110" s="1133"/>
      <c r="DP110" s="1133"/>
      <c r="DQ110" s="1133"/>
      <c r="DR110" s="1133"/>
      <c r="DS110" s="1133"/>
      <c r="DT110" s="1133"/>
      <c r="DU110" s="1133"/>
      <c r="DV110" s="1133"/>
      <c r="DW110" s="1133"/>
      <c r="DX110" s="1133"/>
      <c r="DY110" s="1133"/>
      <c r="DZ110" s="1133"/>
      <c r="EA110" s="1133"/>
      <c r="EB110" s="1133"/>
      <c r="EC110" s="1133"/>
      <c r="ED110" s="1133"/>
      <c r="EE110" s="1133"/>
      <c r="EF110" s="1133"/>
      <c r="EG110" s="1133"/>
      <c r="EH110" s="1133"/>
      <c r="EI110" s="1133"/>
      <c r="EJ110" s="1133"/>
      <c r="EK110" s="1133"/>
      <c r="EL110" s="1133"/>
      <c r="EM110" s="1133"/>
      <c r="EN110" s="1133"/>
      <c r="EO110" s="1133"/>
      <c r="EP110" s="1133"/>
      <c r="EQ110" s="1133"/>
      <c r="ER110" s="1133"/>
      <c r="ES110" s="1133"/>
      <c r="ET110" s="1133"/>
      <c r="EU110" s="1133"/>
      <c r="EV110" s="1133"/>
      <c r="EW110" s="1133"/>
      <c r="EX110" s="1133"/>
      <c r="EY110" s="1133"/>
      <c r="EZ110" s="1133"/>
      <c r="FA110" s="1133"/>
      <c r="FB110" s="1133"/>
      <c r="FC110" s="1133"/>
      <c r="FD110" s="1133"/>
      <c r="FE110" s="1133"/>
      <c r="FF110" s="1133"/>
      <c r="FG110" s="1133"/>
      <c r="FH110" s="1133"/>
      <c r="FI110" s="1133"/>
      <c r="FJ110" s="1133"/>
      <c r="FK110" s="1133"/>
      <c r="FL110" s="1133"/>
      <c r="FM110" s="1133"/>
      <c r="FN110" s="1133"/>
      <c r="FO110" s="1133"/>
      <c r="FP110" s="1133"/>
      <c r="FQ110" s="1133"/>
      <c r="FR110" s="1133"/>
      <c r="FS110" s="1133"/>
      <c r="FT110" s="1133"/>
      <c r="FU110" s="1133"/>
      <c r="FV110" s="1133"/>
      <c r="FW110" s="1133"/>
      <c r="FX110" s="835"/>
    </row>
    <row r="111" s="810" customFormat="true" ht="12" hidden="false" customHeight="true" outlineLevel="0" collapsed="false">
      <c r="B111" s="811"/>
      <c r="F111" s="1135"/>
      <c r="G111" s="1095" t="s">
        <v>1926</v>
      </c>
      <c r="H111" s="1095"/>
      <c r="I111" s="1095"/>
      <c r="J111" s="1095"/>
      <c r="K111" s="1095"/>
      <c r="L111" s="1095"/>
      <c r="M111" s="1095"/>
      <c r="N111" s="1095"/>
      <c r="O111" s="1095"/>
      <c r="P111" s="1095"/>
      <c r="Q111" s="1095"/>
      <c r="R111" s="1095"/>
      <c r="S111" s="1095"/>
      <c r="T111" s="1095"/>
      <c r="U111" s="1095"/>
      <c r="V111" s="1095"/>
      <c r="W111" s="1095"/>
      <c r="X111" s="1095"/>
      <c r="Y111" s="1095"/>
      <c r="Z111" s="1095"/>
      <c r="AA111" s="1095"/>
      <c r="AB111" s="1095"/>
      <c r="AC111" s="1095"/>
      <c r="AD111" s="1095"/>
      <c r="AE111" s="1095"/>
      <c r="AF111" s="1095"/>
      <c r="AG111" s="1095"/>
      <c r="AH111" s="1095"/>
      <c r="AI111" s="1095"/>
      <c r="AJ111" s="1095"/>
      <c r="AK111" s="1095"/>
      <c r="AL111" s="1095"/>
      <c r="AM111" s="1095"/>
      <c r="AN111" s="1095"/>
      <c r="AO111" s="1095"/>
      <c r="AP111" s="1095"/>
      <c r="AQ111" s="1095"/>
      <c r="AR111" s="1095"/>
      <c r="AS111" s="1095"/>
      <c r="AT111" s="1095"/>
      <c r="AU111" s="1095"/>
      <c r="AV111" s="1095"/>
      <c r="AW111" s="1095"/>
      <c r="AX111" s="1095"/>
      <c r="AY111" s="1095"/>
      <c r="AZ111" s="1095"/>
      <c r="BA111" s="1095"/>
      <c r="BB111" s="1095"/>
      <c r="BC111" s="1095"/>
      <c r="BD111" s="1095"/>
      <c r="BE111" s="1095"/>
      <c r="BF111" s="1095"/>
      <c r="BG111" s="1095"/>
      <c r="BH111" s="1095"/>
      <c r="BI111" s="1095"/>
      <c r="BJ111" s="1095"/>
      <c r="BK111" s="1095"/>
      <c r="BL111" s="1095"/>
      <c r="BM111" s="1095"/>
      <c r="BN111" s="1095"/>
      <c r="BO111" s="1095"/>
      <c r="BP111" s="1095"/>
      <c r="BQ111" s="1095"/>
      <c r="BR111" s="1095"/>
      <c r="BS111" s="1095"/>
      <c r="BT111" s="1095"/>
      <c r="BU111" s="1095"/>
      <c r="BV111" s="1095"/>
      <c r="BW111" s="1095"/>
      <c r="BX111" s="1095"/>
      <c r="BY111" s="1095"/>
      <c r="BZ111" s="1095"/>
      <c r="CA111" s="1095"/>
      <c r="CB111" s="1095"/>
      <c r="CC111" s="1095"/>
      <c r="CD111" s="1095"/>
      <c r="CE111" s="1095"/>
      <c r="CF111" s="1095"/>
      <c r="CG111" s="1095"/>
      <c r="CH111" s="1095"/>
      <c r="CI111" s="1095"/>
      <c r="CJ111" s="1095"/>
      <c r="CK111" s="1095"/>
      <c r="CL111" s="1095"/>
      <c r="CM111" s="1095"/>
      <c r="CN111" s="1095"/>
      <c r="CO111" s="1095"/>
      <c r="CP111" s="1095"/>
      <c r="CQ111" s="1095"/>
      <c r="CR111" s="1095"/>
      <c r="CS111" s="1095"/>
      <c r="CT111" s="1095"/>
      <c r="CU111" s="1095"/>
      <c r="CV111" s="1095"/>
      <c r="CW111" s="1095"/>
      <c r="CX111" s="1095"/>
      <c r="CY111" s="1095"/>
      <c r="CZ111" s="1095"/>
      <c r="DA111" s="1095"/>
      <c r="DB111" s="1095"/>
      <c r="DC111" s="1095"/>
      <c r="DD111" s="1095"/>
      <c r="DE111" s="1095"/>
      <c r="DF111" s="1095"/>
      <c r="DG111" s="1095"/>
      <c r="DH111" s="1095"/>
      <c r="DI111" s="1095"/>
      <c r="DJ111" s="1095"/>
      <c r="DK111" s="1095"/>
      <c r="DL111" s="1095"/>
      <c r="DM111" s="1095"/>
      <c r="DN111" s="1095"/>
      <c r="DO111" s="1095"/>
      <c r="DP111" s="1095"/>
      <c r="DQ111" s="1095"/>
      <c r="DR111" s="1095"/>
      <c r="DS111" s="1095"/>
      <c r="DT111" s="1095"/>
      <c r="DU111" s="1095"/>
      <c r="DV111" s="1095"/>
      <c r="DW111" s="1095"/>
      <c r="DX111" s="1095"/>
      <c r="DY111" s="1095"/>
      <c r="DZ111" s="1095"/>
      <c r="EA111" s="1095"/>
      <c r="EB111" s="1095"/>
      <c r="EC111" s="1095"/>
      <c r="ED111" s="1095"/>
      <c r="EE111" s="1095"/>
      <c r="EF111" s="1095"/>
      <c r="EG111" s="1095"/>
      <c r="EH111" s="1095"/>
      <c r="EI111" s="1095"/>
      <c r="EJ111" s="1095"/>
      <c r="EK111" s="1095"/>
      <c r="EL111" s="1095"/>
      <c r="EM111" s="1095"/>
      <c r="EN111" s="1095"/>
      <c r="EO111" s="1095"/>
      <c r="EP111" s="1095"/>
      <c r="EQ111" s="1095"/>
      <c r="ER111" s="1095"/>
      <c r="ES111" s="1095"/>
      <c r="ET111" s="1095"/>
      <c r="EU111" s="1095"/>
      <c r="EV111" s="1095"/>
      <c r="EW111" s="1095"/>
      <c r="EX111" s="1095"/>
      <c r="EY111" s="1095"/>
      <c r="EZ111" s="1095"/>
      <c r="FA111" s="1095"/>
      <c r="FB111" s="1095"/>
      <c r="FC111" s="1095"/>
      <c r="FD111" s="1095"/>
      <c r="FE111" s="1095"/>
      <c r="FF111" s="1095"/>
      <c r="FG111" s="1095"/>
      <c r="FH111" s="1095"/>
      <c r="FI111" s="1095"/>
      <c r="FJ111" s="1095"/>
      <c r="FK111" s="1095"/>
      <c r="FL111" s="1095"/>
      <c r="FM111" s="1095"/>
      <c r="FN111" s="1095"/>
      <c r="FO111" s="1095"/>
      <c r="FP111" s="1095"/>
      <c r="FQ111" s="1095"/>
      <c r="FR111" s="1095"/>
      <c r="FS111" s="1095"/>
      <c r="FT111" s="1095"/>
      <c r="FU111" s="1095"/>
      <c r="FV111" s="1095"/>
      <c r="FW111" s="1136"/>
      <c r="FX111" s="136"/>
      <c r="FY111" s="812"/>
      <c r="FZ111" s="812"/>
      <c r="GA111" s="812"/>
      <c r="GB111" s="812"/>
    </row>
    <row r="113" s="1024" customFormat="true" ht="11.25" hidden="false" customHeight="true" outlineLevel="0" collapsed="false">
      <c r="A113" s="1024" t="s">
        <v>1927</v>
      </c>
    </row>
    <row r="115" s="55" customFormat="true" ht="15" hidden="false" customHeight="true" outlineLevel="0" collapsed="false">
      <c r="A115" s="690"/>
      <c r="D115" s="200" t="s">
        <v>107</v>
      </c>
      <c r="E115" s="691" t="s">
        <v>103</v>
      </c>
      <c r="F115" s="691"/>
      <c r="G115" s="691"/>
      <c r="H115" s="692" t="str">
        <f aca="false">IF(A115="","",INDEX(DIFFERENTIATION_UNMERGE_VD,MATCH(A115,DIFFERENTIATION_ID_DIFF,0)))</f>
        <v/>
      </c>
      <c r="I115" s="692"/>
      <c r="J115" s="692"/>
      <c r="K115" s="692"/>
      <c r="L115" s="692"/>
      <c r="M115" s="692"/>
      <c r="N115" s="692"/>
      <c r="O115" s="692"/>
      <c r="P115" s="692"/>
      <c r="Q115" s="692"/>
      <c r="R115" s="692"/>
      <c r="S115" s="693"/>
      <c r="T115" s="694"/>
      <c r="U115" s="160"/>
      <c r="V115" s="160"/>
      <c r="W115" s="56"/>
      <c r="X115" s="56"/>
      <c r="Y115" s="56"/>
      <c r="Z115" s="56"/>
      <c r="AA115" s="160"/>
      <c r="AB115" s="56"/>
      <c r="AC115" s="695"/>
      <c r="AD115" s="56"/>
      <c r="AE115" s="696"/>
      <c r="AF115" s="696"/>
      <c r="AG115" s="697" t="s">
        <v>606</v>
      </c>
      <c r="AH115" s="698" t="n">
        <v>3</v>
      </c>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56"/>
      <c r="BW115" s="56"/>
      <c r="BX115" s="56"/>
      <c r="BY115" s="56"/>
      <c r="BZ115" s="56"/>
      <c r="CA115" s="56"/>
      <c r="CB115" s="56"/>
      <c r="CC115" s="56"/>
      <c r="CD115" s="56"/>
      <c r="CE115" s="56"/>
    </row>
    <row r="116" s="55" customFormat="true" ht="15" hidden="false" customHeight="true" outlineLevel="0" collapsed="false">
      <c r="A116" s="690"/>
      <c r="D116" s="200"/>
      <c r="E116" s="691" t="s">
        <v>561</v>
      </c>
      <c r="F116" s="691"/>
      <c r="G116" s="691"/>
      <c r="H116" s="692" t="str">
        <f aca="false">IF(A115="","",INDEX(DIFFERENTIATION_UNMERGE_AREA,MATCH(A115,DIFFERENTIATION_ID_DIFF,0)))</f>
        <v/>
      </c>
      <c r="I116" s="692"/>
      <c r="J116" s="692"/>
      <c r="K116" s="692"/>
      <c r="L116" s="692"/>
      <c r="M116" s="692"/>
      <c r="N116" s="692"/>
      <c r="O116" s="692"/>
      <c r="P116" s="692"/>
      <c r="Q116" s="692"/>
      <c r="R116" s="692"/>
      <c r="S116" s="693"/>
      <c r="T116" s="694"/>
      <c r="U116" s="160"/>
      <c r="V116" s="160"/>
      <c r="W116" s="56"/>
      <c r="X116" s="56"/>
      <c r="Y116" s="56"/>
      <c r="Z116" s="56"/>
      <c r="AA116" s="160"/>
      <c r="AB116" s="56"/>
      <c r="AC116" s="695"/>
      <c r="AD116" s="56"/>
      <c r="AE116" s="696"/>
      <c r="AF116" s="696"/>
      <c r="AG116" s="697"/>
      <c r="AH116" s="698"/>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56"/>
      <c r="BW116" s="56"/>
      <c r="BX116" s="56"/>
      <c r="BY116" s="56"/>
      <c r="BZ116" s="56"/>
      <c r="CA116" s="56"/>
      <c r="CB116" s="56"/>
      <c r="CC116" s="56"/>
      <c r="CD116" s="56"/>
      <c r="CE116" s="56"/>
    </row>
    <row r="117" s="55" customFormat="true" ht="15" hidden="false" customHeight="true" outlineLevel="0" collapsed="false">
      <c r="A117" s="690"/>
      <c r="D117" s="200"/>
      <c r="E117" s="691" t="s">
        <v>562</v>
      </c>
      <c r="F117" s="691"/>
      <c r="G117" s="691"/>
      <c r="H117" s="692" t="str">
        <f aca="false">IF(A115="","",INDEX(DIFFERENTIATION_UNMERGE_SYSTEM,MATCH(A115,DIFFERENTIATION_ID_DIFF,0)))</f>
        <v/>
      </c>
      <c r="I117" s="692"/>
      <c r="J117" s="692"/>
      <c r="K117" s="692"/>
      <c r="L117" s="692"/>
      <c r="M117" s="692"/>
      <c r="N117" s="692"/>
      <c r="O117" s="692"/>
      <c r="P117" s="692"/>
      <c r="Q117" s="692"/>
      <c r="R117" s="692"/>
      <c r="S117" s="693"/>
      <c r="T117" s="694"/>
      <c r="U117" s="160"/>
      <c r="V117" s="160"/>
      <c r="W117" s="56"/>
      <c r="X117" s="56"/>
      <c r="Y117" s="56"/>
      <c r="Z117" s="56"/>
      <c r="AA117" s="160"/>
      <c r="AB117" s="56"/>
      <c r="AC117" s="695"/>
      <c r="AD117" s="56"/>
      <c r="AE117" s="696"/>
      <c r="AF117" s="696"/>
      <c r="AG117" s="697"/>
      <c r="AH117" s="698"/>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56"/>
      <c r="BW117" s="56"/>
      <c r="BX117" s="56"/>
      <c r="BY117" s="56"/>
      <c r="BZ117" s="56"/>
      <c r="CA117" s="56"/>
      <c r="CB117" s="56"/>
      <c r="CC117" s="56"/>
      <c r="CD117" s="56"/>
      <c r="CE117" s="56"/>
    </row>
    <row r="118" s="55" customFormat="true" ht="24.75" hidden="false" customHeight="true" outlineLevel="0" collapsed="false">
      <c r="A118" s="107"/>
      <c r="B118" s="45"/>
      <c r="C118" s="161"/>
      <c r="D118" s="200"/>
      <c r="E118" s="699" t="s">
        <v>607</v>
      </c>
      <c r="F118" s="699"/>
      <c r="G118" s="699"/>
      <c r="H118" s="699"/>
      <c r="I118" s="699"/>
      <c r="J118" s="699"/>
      <c r="K118" s="699"/>
      <c r="L118" s="699"/>
      <c r="M118" s="699"/>
      <c r="N118" s="699"/>
      <c r="O118" s="699"/>
      <c r="P118" s="699"/>
      <c r="Q118" s="631" t="n">
        <f aca="false">SUMIF(T119:T120,"i",Q119:Q120)</f>
        <v>0</v>
      </c>
      <c r="R118" s="700"/>
      <c r="S118" s="629" t="s">
        <v>608</v>
      </c>
      <c r="T118" s="694" t="s">
        <v>609</v>
      </c>
      <c r="U118" s="125" t="n">
        <v>1</v>
      </c>
      <c r="V118" s="125" t="s">
        <v>572</v>
      </c>
      <c r="W118" s="45"/>
      <c r="X118" s="45"/>
      <c r="Y118" s="45"/>
      <c r="Z118" s="45"/>
      <c r="AA118" s="49"/>
      <c r="AB118" s="45"/>
      <c r="AC118" s="695"/>
      <c r="AD118" s="56"/>
      <c r="AE118" s="45"/>
      <c r="AF118" s="45"/>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5"/>
      <c r="BW118" s="45"/>
      <c r="BX118" s="45"/>
      <c r="BY118" s="45"/>
      <c r="BZ118" s="45"/>
      <c r="CA118" s="45"/>
      <c r="CB118" s="45"/>
      <c r="CC118" s="45"/>
      <c r="CD118" s="45"/>
      <c r="CE118" s="45"/>
    </row>
    <row r="119" s="55" customFormat="true" ht="11.25" hidden="true" customHeight="true" outlineLevel="0" collapsed="false">
      <c r="A119" s="125"/>
      <c r="B119" s="49"/>
      <c r="C119" s="49"/>
      <c r="D119" s="200"/>
      <c r="E119" s="299"/>
      <c r="F119" s="299" t="n">
        <v>0</v>
      </c>
      <c r="G119" s="299"/>
      <c r="H119" s="299"/>
      <c r="I119" s="299"/>
      <c r="J119" s="299"/>
      <c r="K119" s="299"/>
      <c r="L119" s="299"/>
      <c r="M119" s="299"/>
      <c r="N119" s="299"/>
      <c r="O119" s="299"/>
      <c r="P119" s="299"/>
      <c r="Q119" s="299"/>
      <c r="R119" s="299"/>
      <c r="S119" s="298"/>
      <c r="T119" s="701"/>
      <c r="U119" s="125"/>
      <c r="V119" s="125"/>
      <c r="W119" s="49"/>
      <c r="X119" s="49"/>
      <c r="Y119" s="49"/>
      <c r="Z119" s="49"/>
      <c r="AA119" s="49"/>
      <c r="AB119" s="45"/>
      <c r="AC119" s="695"/>
      <c r="AD119" s="56"/>
      <c r="AE119" s="45"/>
      <c r="AF119" s="45"/>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row>
    <row r="120" s="55" customFormat="true" ht="11.25" hidden="false" customHeight="true" outlineLevel="0" collapsed="false">
      <c r="A120" s="107"/>
      <c r="B120" s="45"/>
      <c r="C120" s="161"/>
      <c r="D120" s="200"/>
      <c r="E120" s="550"/>
      <c r="F120" s="165"/>
      <c r="G120" s="165" t="s">
        <v>1928</v>
      </c>
      <c r="H120" s="170"/>
      <c r="I120" s="170"/>
      <c r="J120" s="170"/>
      <c r="K120" s="170"/>
      <c r="L120" s="170"/>
      <c r="M120" s="170"/>
      <c r="N120" s="170"/>
      <c r="O120" s="170"/>
      <c r="P120" s="170"/>
      <c r="Q120" s="170"/>
      <c r="R120" s="209"/>
      <c r="S120" s="1137"/>
      <c r="T120" s="701"/>
      <c r="U120" s="125"/>
      <c r="V120" s="125"/>
      <c r="W120" s="45"/>
      <c r="X120" s="45"/>
      <c r="Y120" s="45"/>
      <c r="Z120" s="45"/>
      <c r="AA120" s="49"/>
      <c r="AB120" s="45"/>
      <c r="AC120" s="695"/>
      <c r="AD120" s="56"/>
      <c r="AE120" s="45"/>
      <c r="AF120" s="45"/>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5"/>
      <c r="BW120" s="45"/>
      <c r="BX120" s="45"/>
      <c r="BY120" s="45"/>
      <c r="BZ120" s="45"/>
      <c r="CA120" s="45"/>
      <c r="CB120" s="45"/>
      <c r="CC120" s="45"/>
      <c r="CD120" s="45"/>
      <c r="CE120" s="45"/>
    </row>
    <row r="121" s="55" customFormat="true" ht="24.75" hidden="false" customHeight="true" outlineLevel="0" collapsed="false">
      <c r="A121" s="107"/>
      <c r="B121" s="45"/>
      <c r="C121" s="161"/>
      <c r="D121" s="200"/>
      <c r="E121" s="699" t="s">
        <v>610</v>
      </c>
      <c r="F121" s="699"/>
      <c r="G121" s="699"/>
      <c r="H121" s="699"/>
      <c r="I121" s="699"/>
      <c r="J121" s="699"/>
      <c r="K121" s="699"/>
      <c r="L121" s="699"/>
      <c r="M121" s="699"/>
      <c r="N121" s="699"/>
      <c r="O121" s="699"/>
      <c r="P121" s="699"/>
      <c r="Q121" s="631" t="n">
        <f aca="false">SUMIF(T122:T123,"i",Q122:Q123)</f>
        <v>0</v>
      </c>
      <c r="R121" s="700"/>
      <c r="S121" s="629" t="s">
        <v>611</v>
      </c>
      <c r="T121" s="694" t="s">
        <v>609</v>
      </c>
      <c r="U121" s="125" t="n">
        <v>1</v>
      </c>
      <c r="V121" s="125" t="s">
        <v>572</v>
      </c>
      <c r="W121" s="45"/>
      <c r="X121" s="45"/>
      <c r="Y121" s="45"/>
      <c r="Z121" s="45"/>
      <c r="AA121" s="49"/>
      <c r="AB121" s="45"/>
      <c r="AC121" s="695"/>
      <c r="AD121" s="56"/>
      <c r="AE121" s="45"/>
      <c r="AF121" s="45"/>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5"/>
      <c r="BW121" s="45"/>
      <c r="BX121" s="45"/>
      <c r="BY121" s="45"/>
      <c r="BZ121" s="45"/>
      <c r="CA121" s="45"/>
      <c r="CB121" s="45"/>
      <c r="CC121" s="45"/>
      <c r="CD121" s="45"/>
      <c r="CE121" s="45"/>
    </row>
    <row r="122" s="55" customFormat="true" ht="11.25" hidden="true" customHeight="true" outlineLevel="0" collapsed="false">
      <c r="A122" s="125"/>
      <c r="B122" s="49"/>
      <c r="C122" s="49"/>
      <c r="D122" s="200"/>
      <c r="E122" s="299"/>
      <c r="F122" s="299" t="n">
        <v>0</v>
      </c>
      <c r="G122" s="299"/>
      <c r="H122" s="299"/>
      <c r="I122" s="299"/>
      <c r="J122" s="299"/>
      <c r="K122" s="299"/>
      <c r="L122" s="299"/>
      <c r="M122" s="299"/>
      <c r="N122" s="299"/>
      <c r="O122" s="299"/>
      <c r="P122" s="299"/>
      <c r="Q122" s="299"/>
      <c r="R122" s="299"/>
      <c r="S122" s="298"/>
      <c r="T122" s="701"/>
      <c r="U122" s="125"/>
      <c r="V122" s="125"/>
      <c r="W122" s="49"/>
      <c r="X122" s="49"/>
      <c r="Y122" s="49"/>
      <c r="Z122" s="49"/>
      <c r="AA122" s="49"/>
      <c r="AB122" s="45"/>
      <c r="AC122" s="695"/>
      <c r="AD122" s="56"/>
      <c r="AE122" s="45"/>
      <c r="AF122" s="45"/>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row>
    <row r="123" s="55" customFormat="true" ht="11.25" hidden="false" customHeight="true" outlineLevel="0" collapsed="false">
      <c r="A123" s="107"/>
      <c r="B123" s="45"/>
      <c r="C123" s="161"/>
      <c r="D123" s="200"/>
      <c r="E123" s="550"/>
      <c r="F123" s="165"/>
      <c r="G123" s="165" t="s">
        <v>1928</v>
      </c>
      <c r="H123" s="170"/>
      <c r="I123" s="170"/>
      <c r="J123" s="170"/>
      <c r="K123" s="170"/>
      <c r="L123" s="170"/>
      <c r="M123" s="170"/>
      <c r="N123" s="170"/>
      <c r="O123" s="170"/>
      <c r="P123" s="170"/>
      <c r="Q123" s="170"/>
      <c r="R123" s="209"/>
      <c r="S123" s="1137"/>
      <c r="T123" s="701"/>
      <c r="U123" s="125"/>
      <c r="V123" s="125"/>
      <c r="W123" s="45"/>
      <c r="X123" s="45"/>
      <c r="Y123" s="45"/>
      <c r="Z123" s="45"/>
      <c r="AA123" s="49"/>
      <c r="AB123" s="45"/>
      <c r="AC123" s="695"/>
      <c r="AD123" s="56"/>
      <c r="AE123" s="45"/>
      <c r="AF123" s="45"/>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5"/>
      <c r="BW123" s="45"/>
      <c r="BX123" s="45"/>
      <c r="BY123" s="45"/>
      <c r="BZ123" s="45"/>
      <c r="CA123" s="45"/>
      <c r="CB123" s="45"/>
      <c r="CC123" s="45"/>
      <c r="CD123" s="45"/>
      <c r="CE123" s="45"/>
    </row>
    <row r="125" s="1024" customFormat="true" ht="11.25" hidden="false" customHeight="true" outlineLevel="0" collapsed="false">
      <c r="A125" s="1024" t="s">
        <v>1929</v>
      </c>
    </row>
    <row r="127" s="55" customFormat="true" ht="15" hidden="false" customHeight="true" outlineLevel="0" collapsed="false">
      <c r="A127" s="690"/>
      <c r="D127" s="200" t="s">
        <v>107</v>
      </c>
      <c r="E127" s="691" t="s">
        <v>103</v>
      </c>
      <c r="F127" s="691"/>
      <c r="G127" s="691"/>
      <c r="H127" s="692" t="str">
        <f aca="false">IF(A127="","",INDEX(DIFFERENTIATION_UNMERGE_VD,MATCH(A127,DIFFERENTIATION_ID_DIFF,0)))</f>
        <v/>
      </c>
      <c r="I127" s="692"/>
      <c r="J127" s="692"/>
      <c r="K127" s="692"/>
      <c r="L127" s="692"/>
      <c r="M127" s="692"/>
      <c r="N127" s="692"/>
      <c r="O127" s="692"/>
      <c r="P127" s="692"/>
      <c r="Q127" s="692"/>
      <c r="R127" s="692"/>
      <c r="S127" s="693"/>
      <c r="T127" s="694"/>
      <c r="U127" s="160"/>
      <c r="V127" s="160"/>
      <c r="W127" s="56"/>
      <c r="X127" s="56"/>
      <c r="Y127" s="56"/>
      <c r="Z127" s="56"/>
      <c r="AA127" s="160"/>
      <c r="AB127" s="56"/>
      <c r="AC127" s="695"/>
      <c r="AD127" s="56"/>
      <c r="AE127" s="696"/>
      <c r="AF127" s="696"/>
      <c r="AG127" s="697" t="s">
        <v>606</v>
      </c>
      <c r="AH127" s="698" t="n">
        <v>3</v>
      </c>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56"/>
      <c r="BW127" s="56"/>
      <c r="BX127" s="56"/>
      <c r="BY127" s="56"/>
      <c r="BZ127" s="56"/>
      <c r="CA127" s="56"/>
      <c r="CB127" s="56"/>
      <c r="CC127" s="56"/>
      <c r="CD127" s="56"/>
      <c r="CE127" s="56"/>
    </row>
    <row r="128" s="55" customFormat="true" ht="15" hidden="false" customHeight="true" outlineLevel="0" collapsed="false">
      <c r="A128" s="690"/>
      <c r="D128" s="200"/>
      <c r="E128" s="691" t="s">
        <v>561</v>
      </c>
      <c r="F128" s="691"/>
      <c r="G128" s="691"/>
      <c r="H128" s="692" t="str">
        <f aca="false">IF(A127="","",INDEX(DIFFERENTIATION_UNMERGE_AREA,MATCH(A127,DIFFERENTIATION_ID_DIFF,0)))</f>
        <v/>
      </c>
      <c r="I128" s="692"/>
      <c r="J128" s="692"/>
      <c r="K128" s="692"/>
      <c r="L128" s="692"/>
      <c r="M128" s="692"/>
      <c r="N128" s="692"/>
      <c r="O128" s="692"/>
      <c r="P128" s="692"/>
      <c r="Q128" s="692"/>
      <c r="R128" s="692"/>
      <c r="S128" s="693"/>
      <c r="T128" s="694"/>
      <c r="U128" s="160"/>
      <c r="V128" s="160"/>
      <c r="W128" s="56"/>
      <c r="X128" s="56"/>
      <c r="Y128" s="56"/>
      <c r="Z128" s="56"/>
      <c r="AA128" s="160"/>
      <c r="AB128" s="56"/>
      <c r="AC128" s="695"/>
      <c r="AD128" s="56"/>
      <c r="AE128" s="696"/>
      <c r="AF128" s="696"/>
      <c r="AG128" s="697"/>
      <c r="AH128" s="698"/>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56"/>
      <c r="BW128" s="56"/>
      <c r="BX128" s="56"/>
      <c r="BY128" s="56"/>
      <c r="BZ128" s="56"/>
      <c r="CA128" s="56"/>
      <c r="CB128" s="56"/>
      <c r="CC128" s="56"/>
      <c r="CD128" s="56"/>
      <c r="CE128" s="56"/>
    </row>
    <row r="129" s="55" customFormat="true" ht="15" hidden="false" customHeight="true" outlineLevel="0" collapsed="false">
      <c r="A129" s="690"/>
      <c r="D129" s="200"/>
      <c r="E129" s="691" t="s">
        <v>562</v>
      </c>
      <c r="F129" s="691"/>
      <c r="G129" s="691"/>
      <c r="H129" s="692" t="str">
        <f aca="false">IF(A127="","",INDEX(DIFFERENTIATION_UNMERGE_SYSTEM,MATCH(A127,DIFFERENTIATION_ID_DIFF,0)))</f>
        <v/>
      </c>
      <c r="I129" s="692"/>
      <c r="J129" s="692"/>
      <c r="K129" s="692"/>
      <c r="L129" s="692"/>
      <c r="M129" s="692"/>
      <c r="N129" s="692"/>
      <c r="O129" s="692"/>
      <c r="P129" s="692"/>
      <c r="Q129" s="692"/>
      <c r="R129" s="692"/>
      <c r="S129" s="693"/>
      <c r="T129" s="694"/>
      <c r="U129" s="160"/>
      <c r="V129" s="160"/>
      <c r="W129" s="56"/>
      <c r="X129" s="56"/>
      <c r="Y129" s="56"/>
      <c r="Z129" s="56"/>
      <c r="AA129" s="160"/>
      <c r="AB129" s="56"/>
      <c r="AC129" s="695"/>
      <c r="AD129" s="56"/>
      <c r="AE129" s="696"/>
      <c r="AF129" s="696"/>
      <c r="AG129" s="697"/>
      <c r="AH129" s="698"/>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56"/>
      <c r="BW129" s="56"/>
      <c r="BX129" s="56"/>
      <c r="BY129" s="56"/>
      <c r="BZ129" s="56"/>
      <c r="CA129" s="56"/>
      <c r="CB129" s="56"/>
      <c r="CC129" s="56"/>
      <c r="CD129" s="56"/>
      <c r="CE129" s="56"/>
    </row>
    <row r="130" s="55" customFormat="true" ht="24.75" hidden="false" customHeight="true" outlineLevel="0" collapsed="false">
      <c r="A130" s="107"/>
      <c r="B130" s="45"/>
      <c r="C130" s="161"/>
      <c r="D130" s="200"/>
      <c r="E130" s="699" t="s">
        <v>607</v>
      </c>
      <c r="F130" s="699"/>
      <c r="G130" s="699"/>
      <c r="H130" s="699"/>
      <c r="I130" s="699"/>
      <c r="J130" s="699"/>
      <c r="K130" s="699"/>
      <c r="L130" s="699"/>
      <c r="M130" s="699"/>
      <c r="N130" s="699"/>
      <c r="O130" s="699"/>
      <c r="P130" s="699"/>
      <c r="Q130" s="631" t="n">
        <f aca="false">SUMIF(T131:T132,"i",Q131:Q132)</f>
        <v>0</v>
      </c>
      <c r="R130" s="700"/>
      <c r="S130" s="629" t="s">
        <v>608</v>
      </c>
      <c r="T130" s="694" t="s">
        <v>609</v>
      </c>
      <c r="U130" s="125" t="n">
        <v>1</v>
      </c>
      <c r="V130" s="125" t="s">
        <v>572</v>
      </c>
      <c r="W130" s="45"/>
      <c r="X130" s="45"/>
      <c r="Y130" s="45"/>
      <c r="Z130" s="45"/>
      <c r="AA130" s="49"/>
      <c r="AB130" s="45"/>
      <c r="AC130" s="695"/>
      <c r="AD130" s="56"/>
      <c r="AE130" s="45"/>
      <c r="AF130" s="45"/>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5"/>
      <c r="BW130" s="45"/>
      <c r="BX130" s="45"/>
      <c r="BY130" s="45"/>
      <c r="BZ130" s="45"/>
      <c r="CA130" s="45"/>
      <c r="CB130" s="45"/>
      <c r="CC130" s="45"/>
      <c r="CD130" s="45"/>
      <c r="CE130" s="45"/>
    </row>
    <row r="131" s="55" customFormat="true" ht="11.25" hidden="true" customHeight="true" outlineLevel="0" collapsed="false">
      <c r="A131" s="125"/>
      <c r="B131" s="49"/>
      <c r="C131" s="49"/>
      <c r="D131" s="200"/>
      <c r="E131" s="299"/>
      <c r="F131" s="299" t="n">
        <v>0</v>
      </c>
      <c r="G131" s="299"/>
      <c r="H131" s="299"/>
      <c r="I131" s="299"/>
      <c r="J131" s="299"/>
      <c r="K131" s="299"/>
      <c r="L131" s="299"/>
      <c r="M131" s="299"/>
      <c r="N131" s="299"/>
      <c r="O131" s="299"/>
      <c r="P131" s="299"/>
      <c r="Q131" s="299"/>
      <c r="R131" s="299"/>
      <c r="S131" s="298"/>
      <c r="T131" s="701"/>
      <c r="U131" s="125"/>
      <c r="V131" s="125"/>
      <c r="W131" s="49"/>
      <c r="X131" s="49"/>
      <c r="Y131" s="49"/>
      <c r="Z131" s="49"/>
      <c r="AA131" s="49"/>
      <c r="AB131" s="45"/>
      <c r="AC131" s="695"/>
      <c r="AD131" s="56"/>
      <c r="AE131" s="45"/>
      <c r="AF131" s="45"/>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row>
    <row r="132" s="55" customFormat="true" ht="11.25" hidden="false" customHeight="true" outlineLevel="0" collapsed="false">
      <c r="A132" s="107"/>
      <c r="B132" s="45"/>
      <c r="C132" s="161"/>
      <c r="D132" s="200"/>
      <c r="E132" s="550"/>
      <c r="F132" s="165"/>
      <c r="G132" s="165" t="s">
        <v>1928</v>
      </c>
      <c r="H132" s="170"/>
      <c r="I132" s="170"/>
      <c r="J132" s="170"/>
      <c r="K132" s="170"/>
      <c r="L132" s="170"/>
      <c r="M132" s="170"/>
      <c r="N132" s="170"/>
      <c r="O132" s="170"/>
      <c r="P132" s="170"/>
      <c r="Q132" s="170"/>
      <c r="R132" s="209"/>
      <c r="S132" s="1137"/>
      <c r="T132" s="701"/>
      <c r="U132" s="125"/>
      <c r="V132" s="125"/>
      <c r="W132" s="45"/>
      <c r="X132" s="45"/>
      <c r="Y132" s="45"/>
      <c r="Z132" s="45"/>
      <c r="AA132" s="49"/>
      <c r="AB132" s="45"/>
      <c r="AC132" s="695"/>
      <c r="AD132" s="56"/>
      <c r="AE132" s="45"/>
      <c r="AF132" s="45"/>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5"/>
      <c r="BW132" s="45"/>
      <c r="BX132" s="45"/>
      <c r="BY132" s="45"/>
      <c r="BZ132" s="45"/>
      <c r="CA132" s="45"/>
      <c r="CB132" s="45"/>
      <c r="CC132" s="45"/>
      <c r="CD132" s="45"/>
      <c r="CE132" s="45"/>
    </row>
    <row r="133" s="160" customFormat="true" ht="5.25" hidden="true" customHeight="true" outlineLevel="0" collapsed="false">
      <c r="A133" s="125"/>
      <c r="B133" s="49"/>
      <c r="C133" s="49"/>
      <c r="D133" s="200"/>
      <c r="E133" s="1138"/>
      <c r="F133" s="1138"/>
      <c r="G133" s="1138"/>
      <c r="H133" s="1138"/>
      <c r="I133" s="1138"/>
      <c r="J133" s="1138"/>
      <c r="K133" s="1138"/>
      <c r="L133" s="1138"/>
      <c r="M133" s="1138"/>
      <c r="N133" s="1138"/>
      <c r="O133" s="1138"/>
      <c r="P133" s="1138"/>
      <c r="Q133" s="562"/>
      <c r="R133" s="1139"/>
      <c r="S133" s="299"/>
      <c r="T133" s="694" t="s">
        <v>609</v>
      </c>
      <c r="U133" s="125" t="n">
        <v>1</v>
      </c>
      <c r="V133" s="125" t="s">
        <v>572</v>
      </c>
      <c r="W133" s="49"/>
      <c r="X133" s="49"/>
      <c r="Y133" s="49"/>
      <c r="Z133" s="49"/>
      <c r="AA133" s="49"/>
      <c r="AB133" s="49"/>
      <c r="AC133" s="1140"/>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row>
    <row r="134" s="160" customFormat="true" ht="5.25" hidden="true" customHeight="true" outlineLevel="0" collapsed="false">
      <c r="A134" s="125"/>
      <c r="B134" s="49"/>
      <c r="C134" s="49"/>
      <c r="D134" s="200"/>
      <c r="E134" s="299"/>
      <c r="F134" s="299"/>
      <c r="G134" s="299"/>
      <c r="H134" s="299"/>
      <c r="I134" s="299"/>
      <c r="J134" s="299"/>
      <c r="K134" s="299"/>
      <c r="L134" s="299"/>
      <c r="M134" s="299"/>
      <c r="N134" s="299"/>
      <c r="O134" s="299"/>
      <c r="P134" s="299"/>
      <c r="Q134" s="299"/>
      <c r="R134" s="299"/>
      <c r="S134" s="298"/>
      <c r="T134" s="701"/>
      <c r="U134" s="125"/>
      <c r="V134" s="125"/>
      <c r="W134" s="49"/>
      <c r="X134" s="49"/>
      <c r="Y134" s="49"/>
      <c r="Z134" s="49"/>
      <c r="AA134" s="49"/>
      <c r="AB134" s="49"/>
      <c r="AC134" s="1140"/>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row>
    <row r="135" s="160" customFormat="true" ht="5.25" hidden="true" customHeight="true" outlineLevel="0" collapsed="false">
      <c r="A135" s="125"/>
      <c r="B135" s="49"/>
      <c r="C135" s="49"/>
      <c r="D135" s="200"/>
      <c r="E135" s="1141"/>
      <c r="F135" s="1142"/>
      <c r="G135" s="1142"/>
      <c r="H135" s="1143"/>
      <c r="I135" s="1143"/>
      <c r="J135" s="1143"/>
      <c r="K135" s="1143"/>
      <c r="L135" s="1143"/>
      <c r="M135" s="1143"/>
      <c r="N135" s="1143"/>
      <c r="O135" s="1143"/>
      <c r="P135" s="1143"/>
      <c r="Q135" s="1143"/>
      <c r="R135" s="1144"/>
      <c r="S135" s="1145"/>
      <c r="T135" s="701"/>
      <c r="U135" s="125"/>
      <c r="V135" s="125"/>
      <c r="W135" s="49"/>
      <c r="X135" s="49"/>
      <c r="Y135" s="49"/>
      <c r="Z135" s="49"/>
      <c r="AA135" s="49"/>
      <c r="AB135" s="49"/>
      <c r="AC135" s="1140"/>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row>
    <row r="136" customFormat="false" ht="17.25" hidden="false" customHeight="true" outlineLevel="0" collapsed="false">
      <c r="D136" s="1146"/>
    </row>
    <row r="137" s="1024" customFormat="true" ht="11.25" hidden="false" customHeight="true" outlineLevel="0" collapsed="false">
      <c r="A137" s="1024" t="s">
        <v>1930</v>
      </c>
    </row>
    <row r="139" s="55" customFormat="true" ht="45" hidden="false" customHeight="true" outlineLevel="0" collapsed="false">
      <c r="A139" s="107"/>
      <c r="B139" s="45"/>
      <c r="C139" s="161"/>
      <c r="E139" s="1147"/>
      <c r="F139" s="200" t="s">
        <v>107</v>
      </c>
      <c r="G139" s="1148"/>
      <c r="H139" s="423"/>
      <c r="I139" s="1149" t="s">
        <v>107</v>
      </c>
      <c r="J139" s="730" t="s">
        <v>1931</v>
      </c>
      <c r="K139" s="225" t="s">
        <v>543</v>
      </c>
      <c r="L139" s="359" t="s">
        <v>543</v>
      </c>
      <c r="M139" s="359"/>
      <c r="N139" s="225" t="s">
        <v>543</v>
      </c>
      <c r="O139" s="225" t="s">
        <v>543</v>
      </c>
      <c r="P139" s="225" t="s">
        <v>543</v>
      </c>
      <c r="Q139" s="805" t="n">
        <f aca="false">SUM(Q140:Q142)</f>
        <v>0</v>
      </c>
      <c r="R139" s="805" t="n">
        <f aca="false">IF(R136=0,0,(Q136/R136)*100)</f>
        <v>0</v>
      </c>
      <c r="S139" s="281"/>
      <c r="T139" s="694" t="s">
        <v>609</v>
      </c>
    </row>
    <row r="140" s="55" customFormat="true" ht="11.25" hidden="false" customHeight="true" outlineLevel="0" collapsed="false">
      <c r="A140" s="107"/>
      <c r="B140" s="45"/>
      <c r="C140" s="161"/>
      <c r="E140" s="1147"/>
      <c r="F140" s="200"/>
      <c r="G140" s="1148"/>
      <c r="H140" s="138"/>
      <c r="I140" s="1037" t="s">
        <v>1019</v>
      </c>
      <c r="J140" s="857"/>
      <c r="K140" s="1150"/>
      <c r="L140" s="848"/>
      <c r="M140" s="1151" t="s">
        <v>107</v>
      </c>
      <c r="N140" s="305"/>
      <c r="O140" s="374"/>
      <c r="P140" s="1043"/>
      <c r="Q140" s="374"/>
      <c r="R140" s="464" t="n">
        <v>0</v>
      </c>
      <c r="S140" s="281"/>
      <c r="T140" s="694"/>
    </row>
    <row r="141" s="55" customFormat="true" ht="11.25" hidden="false" customHeight="true" outlineLevel="0" collapsed="false">
      <c r="A141" s="107"/>
      <c r="B141" s="45"/>
      <c r="C141" s="161"/>
      <c r="E141" s="1147"/>
      <c r="F141" s="200"/>
      <c r="G141" s="1148"/>
      <c r="H141" s="138"/>
      <c r="I141" s="1037"/>
      <c r="J141" s="857"/>
      <c r="K141" s="1150"/>
      <c r="L141" s="1152"/>
      <c r="M141" s="1153"/>
      <c r="N141" s="170" t="s">
        <v>1932</v>
      </c>
      <c r="O141" s="170"/>
      <c r="P141" s="170"/>
      <c r="Q141" s="170"/>
      <c r="R141" s="209"/>
      <c r="S141" s="281"/>
      <c r="T141" s="694"/>
    </row>
    <row r="142" s="55" customFormat="true" ht="11.25" hidden="false" customHeight="true" outlineLevel="0" collapsed="false">
      <c r="A142" s="107"/>
      <c r="B142" s="45"/>
      <c r="C142" s="161"/>
      <c r="E142" s="1147"/>
      <c r="F142" s="200"/>
      <c r="G142" s="1148"/>
      <c r="H142" s="1152"/>
      <c r="I142" s="1153"/>
      <c r="J142" s="170" t="s">
        <v>1933</v>
      </c>
      <c r="K142" s="170"/>
      <c r="L142" s="170"/>
      <c r="M142" s="170"/>
      <c r="N142" s="170"/>
      <c r="O142" s="170"/>
      <c r="P142" s="170"/>
      <c r="Q142" s="170"/>
      <c r="R142" s="209"/>
      <c r="S142" s="281"/>
      <c r="T142" s="694"/>
    </row>
    <row r="147" s="55" customFormat="true" ht="11.25" hidden="false" customHeight="true" outlineLevel="0" collapsed="false">
      <c r="A147" s="107"/>
      <c r="B147" s="45"/>
      <c r="C147" s="161"/>
      <c r="E147" s="1099"/>
      <c r="F147" s="1099"/>
      <c r="G147" s="1099"/>
      <c r="H147" s="138"/>
      <c r="I147" s="1037" t="s">
        <v>1019</v>
      </c>
      <c r="J147" s="857"/>
      <c r="K147" s="1150"/>
      <c r="L147" s="848"/>
      <c r="M147" s="1151" t="s">
        <v>107</v>
      </c>
      <c r="N147" s="305"/>
      <c r="O147" s="374"/>
      <c r="P147" s="1043"/>
      <c r="Q147" s="374"/>
      <c r="R147" s="464" t="n">
        <v>0</v>
      </c>
      <c r="T147" s="694"/>
    </row>
    <row r="148" s="55" customFormat="true" ht="11.25" hidden="false" customHeight="true" outlineLevel="0" collapsed="false">
      <c r="A148" s="107"/>
      <c r="B148" s="45"/>
      <c r="C148" s="161"/>
      <c r="E148" s="1099"/>
      <c r="F148" s="1099"/>
      <c r="G148" s="1099"/>
      <c r="H148" s="138"/>
      <c r="I148" s="1037"/>
      <c r="J148" s="857"/>
      <c r="K148" s="1150"/>
      <c r="L148" s="1152"/>
      <c r="M148" s="1153"/>
      <c r="N148" s="170" t="s">
        <v>1932</v>
      </c>
      <c r="O148" s="170"/>
      <c r="P148" s="170"/>
      <c r="Q148" s="170"/>
      <c r="R148" s="209"/>
      <c r="T148" s="694"/>
    </row>
    <row r="150" s="55" customFormat="true" ht="11.25" hidden="false" customHeight="true" outlineLevel="0" collapsed="false">
      <c r="A150" s="107"/>
      <c r="B150" s="45"/>
      <c r="C150" s="161"/>
      <c r="E150" s="1154"/>
      <c r="H150" s="1155"/>
      <c r="I150" s="1099"/>
      <c r="J150" s="1101"/>
      <c r="K150" s="1101"/>
      <c r="L150" s="848"/>
      <c r="M150" s="1151" t="s">
        <v>107</v>
      </c>
      <c r="N150" s="305"/>
      <c r="O150" s="374"/>
      <c r="P150" s="1043"/>
      <c r="Q150" s="374"/>
      <c r="R150" s="464" t="n">
        <v>0</v>
      </c>
      <c r="T150" s="694"/>
    </row>
    <row r="152" s="1024" customFormat="true" ht="17.25" hidden="false" customHeight="true" outlineLevel="0" collapsed="false">
      <c r="A152" s="1024" t="s">
        <v>1934</v>
      </c>
    </row>
    <row r="153" customFormat="false" ht="17.25" hidden="false" customHeight="true" outlineLevel="0" collapsed="false">
      <c r="G153" s="1156"/>
      <c r="H153" s="1156"/>
      <c r="I153" s="1156"/>
    </row>
    <row r="154" s="177" customFormat="true" ht="17.25" hidden="false" customHeight="true" outlineLevel="0" collapsed="false">
      <c r="A154" s="227"/>
      <c r="C154" s="121"/>
      <c r="D154" s="224"/>
      <c r="E154" s="229"/>
      <c r="F154" s="230"/>
      <c r="G154" s="1157"/>
      <c r="H154" s="224"/>
      <c r="I154" s="224" t="n">
        <v>1</v>
      </c>
      <c r="J154" s="333"/>
      <c r="K154" s="206" t="s">
        <v>64</v>
      </c>
      <c r="L154" s="200"/>
      <c r="M154" s="200" t="s">
        <v>107</v>
      </c>
      <c r="N154" s="1158" t="str">
        <f aca="false">IF(Z154="","",INDEX(TERRITORY_MR_LIST,MATCH(Z154,TERRITORY_LIST_ID,0)))</f>
        <v/>
      </c>
      <c r="O154" s="206" t="s">
        <v>64</v>
      </c>
      <c r="P154" s="200"/>
      <c r="Q154" s="200" t="s">
        <v>107</v>
      </c>
      <c r="R154" s="305"/>
      <c r="S154" s="206" t="s">
        <v>64</v>
      </c>
      <c r="T154" s="200"/>
      <c r="U154" s="200" t="s">
        <v>107</v>
      </c>
      <c r="V154" s="305"/>
      <c r="W154" s="333"/>
      <c r="Y154" s="238"/>
      <c r="Z154" s="238"/>
      <c r="AA154" s="238"/>
      <c r="AB154" s="238"/>
      <c r="AC154" s="238"/>
      <c r="AD154" s="238"/>
      <c r="AE154" s="238"/>
      <c r="AF154" s="238"/>
      <c r="AG154" s="238"/>
      <c r="AH154" s="238"/>
      <c r="AI154" s="238"/>
      <c r="AJ154" s="238"/>
      <c r="AK154" s="238"/>
      <c r="AL154" s="54"/>
      <c r="AM154" s="54"/>
      <c r="AN154" s="238"/>
      <c r="AO154" s="238"/>
      <c r="AP154" s="238"/>
      <c r="AQ154" s="238"/>
    </row>
    <row r="155" s="177" customFormat="true" ht="17.25" hidden="false" customHeight="true" outlineLevel="0" collapsed="false">
      <c r="A155" s="227"/>
      <c r="D155" s="224"/>
      <c r="E155" s="229"/>
      <c r="F155" s="230"/>
      <c r="G155" s="1157"/>
      <c r="H155" s="224"/>
      <c r="I155" s="224"/>
      <c r="J155" s="333"/>
      <c r="K155" s="206"/>
      <c r="L155" s="200"/>
      <c r="M155" s="200"/>
      <c r="N155" s="1158"/>
      <c r="O155" s="206"/>
      <c r="P155" s="200"/>
      <c r="Q155" s="200"/>
      <c r="R155" s="305"/>
      <c r="S155" s="206"/>
      <c r="T155" s="1159"/>
      <c r="U155" s="1160"/>
      <c r="V155" s="1160" t="s">
        <v>411</v>
      </c>
      <c r="W155" s="1161"/>
      <c r="Y155" s="100"/>
      <c r="Z155" s="100"/>
      <c r="AA155" s="100"/>
      <c r="AB155" s="100"/>
      <c r="AC155" s="100"/>
      <c r="AD155" s="100"/>
      <c r="AE155" s="100"/>
      <c r="AF155" s="100"/>
      <c r="AG155" s="100"/>
      <c r="AH155" s="100"/>
      <c r="AI155" s="100"/>
      <c r="AJ155" s="100"/>
      <c r="AK155" s="100"/>
    </row>
    <row r="156" s="177" customFormat="true" ht="17.25" hidden="false" customHeight="true" outlineLevel="0" collapsed="false">
      <c r="A156" s="227"/>
      <c r="D156" s="224"/>
      <c r="E156" s="229"/>
      <c r="F156" s="230"/>
      <c r="G156" s="1157"/>
      <c r="H156" s="224"/>
      <c r="I156" s="224"/>
      <c r="J156" s="333"/>
      <c r="K156" s="206"/>
      <c r="L156" s="200"/>
      <c r="M156" s="200"/>
      <c r="N156" s="1158"/>
      <c r="O156" s="206"/>
      <c r="P156" s="1159"/>
      <c r="Q156" s="1160"/>
      <c r="R156" s="1160" t="s">
        <v>412</v>
      </c>
      <c r="S156" s="1162"/>
      <c r="T156" s="1162"/>
      <c r="U156" s="1162"/>
      <c r="V156" s="1162"/>
      <c r="W156" s="1161"/>
      <c r="Y156" s="100"/>
      <c r="Z156" s="100"/>
      <c r="AA156" s="100"/>
      <c r="AB156" s="100"/>
      <c r="AC156" s="100"/>
      <c r="AD156" s="100"/>
      <c r="AE156" s="100"/>
      <c r="AF156" s="100"/>
      <c r="AG156" s="100"/>
      <c r="AH156" s="100"/>
      <c r="AI156" s="100"/>
      <c r="AJ156" s="100"/>
      <c r="AK156" s="100"/>
    </row>
    <row r="157" s="177" customFormat="true" ht="17.25" hidden="false" customHeight="true" outlineLevel="0" collapsed="false">
      <c r="A157" s="227"/>
      <c r="D157" s="224"/>
      <c r="E157" s="229"/>
      <c r="F157" s="230"/>
      <c r="G157" s="1157"/>
      <c r="H157" s="224"/>
      <c r="I157" s="224"/>
      <c r="J157" s="333"/>
      <c r="K157" s="206"/>
      <c r="L157" s="1159"/>
      <c r="M157" s="1160"/>
      <c r="N157" s="1160" t="s">
        <v>413</v>
      </c>
      <c r="O157" s="1160"/>
      <c r="P157" s="1160"/>
      <c r="Q157" s="1160"/>
      <c r="R157" s="1160"/>
      <c r="S157" s="1162"/>
      <c r="T157" s="1162"/>
      <c r="U157" s="1162"/>
      <c r="V157" s="1162"/>
      <c r="W157" s="1161"/>
      <c r="Y157" s="100"/>
      <c r="Z157" s="100"/>
      <c r="AA157" s="100"/>
      <c r="AB157" s="100"/>
      <c r="AC157" s="100"/>
      <c r="AD157" s="100"/>
      <c r="AE157" s="100"/>
      <c r="AF157" s="100"/>
      <c r="AG157" s="100"/>
      <c r="AH157" s="100"/>
      <c r="AI157" s="100"/>
      <c r="AJ157" s="100"/>
      <c r="AK157" s="100"/>
    </row>
    <row r="158" s="177" customFormat="true" ht="17.25" hidden="false" customHeight="true" outlineLevel="0" collapsed="false">
      <c r="A158" s="227"/>
      <c r="D158" s="224"/>
      <c r="E158" s="229"/>
      <c r="F158" s="230"/>
      <c r="G158" s="1157"/>
      <c r="H158" s="1159"/>
      <c r="I158" s="1160"/>
      <c r="J158" s="1160" t="s">
        <v>445</v>
      </c>
      <c r="K158" s="1160"/>
      <c r="L158" s="1160"/>
      <c r="M158" s="1160"/>
      <c r="N158" s="1160"/>
      <c r="O158" s="1160"/>
      <c r="P158" s="1160"/>
      <c r="Q158" s="1160"/>
      <c r="R158" s="1160"/>
      <c r="S158" s="1162"/>
      <c r="T158" s="1162"/>
      <c r="U158" s="1162"/>
      <c r="V158" s="1162"/>
      <c r="W158" s="1161"/>
      <c r="Y158" s="100"/>
      <c r="Z158" s="100"/>
      <c r="AA158" s="100"/>
      <c r="AB158" s="100"/>
      <c r="AC158" s="100"/>
      <c r="AD158" s="100"/>
      <c r="AE158" s="100"/>
      <c r="AF158" s="100"/>
      <c r="AG158" s="100"/>
      <c r="AH158" s="100"/>
      <c r="AI158" s="100"/>
      <c r="AJ158" s="100"/>
      <c r="AK158" s="100"/>
    </row>
    <row r="159" customFormat="false" ht="17.25" hidden="false" customHeight="true" outlineLevel="0" collapsed="false">
      <c r="G159" s="1156"/>
      <c r="H159" s="1156"/>
      <c r="I159" s="1156"/>
    </row>
    <row r="160" s="177" customFormat="true" ht="17.25" hidden="false" customHeight="true" outlineLevel="0" collapsed="false">
      <c r="A160" s="227"/>
      <c r="C160" s="121"/>
      <c r="D160" s="1099"/>
      <c r="E160" s="1163"/>
      <c r="F160" s="1164"/>
      <c r="G160" s="1165"/>
      <c r="H160" s="224"/>
      <c r="I160" s="224" t="n">
        <v>1</v>
      </c>
      <c r="J160" s="333"/>
      <c r="K160" s="206" t="s">
        <v>64</v>
      </c>
      <c r="L160" s="200"/>
      <c r="M160" s="200" t="s">
        <v>107</v>
      </c>
      <c r="N160" s="1158" t="str">
        <f aca="false">IF(Z160="","",INDEX(TERRITORY_MR_LIST,MATCH(Z160,TERRITORY_LIST_ID,0)))</f>
        <v/>
      </c>
      <c r="O160" s="206" t="s">
        <v>64</v>
      </c>
      <c r="P160" s="200"/>
      <c r="Q160" s="200" t="s">
        <v>107</v>
      </c>
      <c r="R160" s="305"/>
      <c r="S160" s="206" t="s">
        <v>64</v>
      </c>
      <c r="T160" s="200"/>
      <c r="U160" s="200" t="s">
        <v>107</v>
      </c>
      <c r="V160" s="305"/>
      <c r="W160" s="333"/>
      <c r="Y160" s="238"/>
      <c r="Z160" s="238"/>
      <c r="AA160" s="238"/>
      <c r="AB160" s="238"/>
      <c r="AC160" s="238"/>
      <c r="AD160" s="238"/>
      <c r="AE160" s="238"/>
      <c r="AF160" s="238"/>
      <c r="AG160" s="238"/>
      <c r="AH160" s="238"/>
      <c r="AI160" s="238"/>
      <c r="AJ160" s="238"/>
      <c r="AK160" s="238"/>
      <c r="AL160" s="54"/>
      <c r="AM160" s="54"/>
      <c r="AN160" s="238"/>
      <c r="AO160" s="238"/>
      <c r="AP160" s="238"/>
      <c r="AQ160" s="238"/>
    </row>
    <row r="161" s="177" customFormat="true" ht="17.25" hidden="false" customHeight="true" outlineLevel="0" collapsed="false">
      <c r="A161" s="227"/>
      <c r="D161" s="1099"/>
      <c r="E161" s="1163"/>
      <c r="F161" s="1164"/>
      <c r="G161" s="1165"/>
      <c r="H161" s="224"/>
      <c r="I161" s="224"/>
      <c r="J161" s="333"/>
      <c r="K161" s="206"/>
      <c r="L161" s="200"/>
      <c r="M161" s="200"/>
      <c r="N161" s="1158"/>
      <c r="O161" s="206"/>
      <c r="P161" s="200"/>
      <c r="Q161" s="200"/>
      <c r="R161" s="305"/>
      <c r="S161" s="206"/>
      <c r="T161" s="1159"/>
      <c r="U161" s="1160"/>
      <c r="V161" s="1160" t="s">
        <v>411</v>
      </c>
      <c r="W161" s="1161"/>
      <c r="Y161" s="100"/>
      <c r="Z161" s="100"/>
      <c r="AA161" s="100"/>
      <c r="AB161" s="100"/>
      <c r="AC161" s="100"/>
      <c r="AD161" s="100"/>
      <c r="AE161" s="100"/>
      <c r="AF161" s="100"/>
      <c r="AG161" s="100"/>
      <c r="AH161" s="100"/>
      <c r="AI161" s="100"/>
      <c r="AJ161" s="100"/>
      <c r="AK161" s="100"/>
    </row>
    <row r="162" s="177" customFormat="true" ht="17.25" hidden="false" customHeight="true" outlineLevel="0" collapsed="false">
      <c r="A162" s="227"/>
      <c r="D162" s="1099"/>
      <c r="E162" s="1163"/>
      <c r="F162" s="1164"/>
      <c r="G162" s="1165"/>
      <c r="H162" s="224"/>
      <c r="I162" s="224"/>
      <c r="J162" s="333"/>
      <c r="K162" s="206"/>
      <c r="L162" s="200"/>
      <c r="M162" s="200"/>
      <c r="N162" s="1158"/>
      <c r="O162" s="206"/>
      <c r="P162" s="1159"/>
      <c r="Q162" s="1160"/>
      <c r="R162" s="1160" t="s">
        <v>412</v>
      </c>
      <c r="S162" s="1162"/>
      <c r="T162" s="1162"/>
      <c r="U162" s="1162"/>
      <c r="V162" s="1162"/>
      <c r="W162" s="1161"/>
      <c r="Y162" s="100"/>
      <c r="Z162" s="100"/>
      <c r="AA162" s="100"/>
      <c r="AB162" s="100"/>
      <c r="AC162" s="100"/>
      <c r="AD162" s="100"/>
      <c r="AE162" s="100"/>
      <c r="AF162" s="100"/>
      <c r="AG162" s="100"/>
      <c r="AH162" s="100"/>
      <c r="AI162" s="100"/>
      <c r="AJ162" s="100"/>
      <c r="AK162" s="100"/>
    </row>
    <row r="163" s="177" customFormat="true" ht="17.25" hidden="false" customHeight="true" outlineLevel="0" collapsed="false">
      <c r="A163" s="227"/>
      <c r="D163" s="1099"/>
      <c r="E163" s="1163"/>
      <c r="F163" s="1164"/>
      <c r="G163" s="1165"/>
      <c r="H163" s="224"/>
      <c r="I163" s="224"/>
      <c r="J163" s="333"/>
      <c r="K163" s="206"/>
      <c r="L163" s="1159"/>
      <c r="M163" s="1160"/>
      <c r="N163" s="1160" t="s">
        <v>413</v>
      </c>
      <c r="O163" s="1160"/>
      <c r="P163" s="1160"/>
      <c r="Q163" s="1160"/>
      <c r="R163" s="1160"/>
      <c r="S163" s="1162"/>
      <c r="T163" s="1162"/>
      <c r="U163" s="1162"/>
      <c r="V163" s="1162"/>
      <c r="W163" s="1161"/>
      <c r="Y163" s="100"/>
      <c r="Z163" s="100"/>
      <c r="AA163" s="100"/>
      <c r="AB163" s="100"/>
      <c r="AC163" s="100"/>
      <c r="AD163" s="100"/>
      <c r="AE163" s="100"/>
      <c r="AF163" s="100"/>
      <c r="AG163" s="100"/>
      <c r="AH163" s="100"/>
      <c r="AI163" s="100"/>
      <c r="AJ163" s="100"/>
      <c r="AK163" s="100"/>
    </row>
    <row r="164" customFormat="false" ht="17.25" hidden="false" customHeight="true" outlineLevel="0" collapsed="false">
      <c r="G164" s="1156"/>
      <c r="H164" s="1156"/>
      <c r="I164" s="1156"/>
    </row>
    <row r="165" s="177" customFormat="true" ht="17.25" hidden="false" customHeight="true" outlineLevel="0" collapsed="false">
      <c r="A165" s="227"/>
      <c r="C165" s="121"/>
      <c r="D165" s="1099"/>
      <c r="E165" s="1163"/>
      <c r="F165" s="1164"/>
      <c r="G165" s="1165"/>
      <c r="H165" s="1099"/>
      <c r="I165" s="1099"/>
      <c r="J165" s="1166"/>
      <c r="K165" s="1167"/>
      <c r="L165" s="200"/>
      <c r="M165" s="200" t="s">
        <v>107</v>
      </c>
      <c r="N165" s="1158" t="str">
        <f aca="false">IF(Z165="","",INDEX(TERRITORY_MR_LIST,MATCH(Z165,TERRITORY_LIST_ID,0)))</f>
        <v/>
      </c>
      <c r="O165" s="206" t="s">
        <v>64</v>
      </c>
      <c r="P165" s="200"/>
      <c r="Q165" s="200" t="s">
        <v>107</v>
      </c>
      <c r="R165" s="305"/>
      <c r="S165" s="206" t="s">
        <v>64</v>
      </c>
      <c r="T165" s="200"/>
      <c r="U165" s="200" t="s">
        <v>107</v>
      </c>
      <c r="V165" s="305"/>
      <c r="W165" s="333"/>
      <c r="Y165" s="238"/>
      <c r="Z165" s="238"/>
      <c r="AA165" s="238"/>
      <c r="AB165" s="238"/>
      <c r="AC165" s="238"/>
      <c r="AD165" s="238"/>
      <c r="AE165" s="238"/>
      <c r="AF165" s="238"/>
      <c r="AG165" s="238"/>
      <c r="AH165" s="238"/>
      <c r="AI165" s="238"/>
      <c r="AJ165" s="238"/>
      <c r="AK165" s="238"/>
      <c r="AL165" s="54"/>
      <c r="AM165" s="54"/>
      <c r="AN165" s="238"/>
      <c r="AO165" s="238"/>
      <c r="AP165" s="238"/>
      <c r="AQ165" s="238"/>
    </row>
    <row r="166" s="177" customFormat="true" ht="17.25" hidden="false" customHeight="true" outlineLevel="0" collapsed="false">
      <c r="A166" s="227"/>
      <c r="D166" s="1099"/>
      <c r="E166" s="1163"/>
      <c r="F166" s="1164"/>
      <c r="G166" s="1165"/>
      <c r="H166" s="1099"/>
      <c r="I166" s="1099"/>
      <c r="J166" s="1166"/>
      <c r="K166" s="1167"/>
      <c r="L166" s="200"/>
      <c r="M166" s="200"/>
      <c r="N166" s="1158"/>
      <c r="O166" s="206"/>
      <c r="P166" s="200"/>
      <c r="Q166" s="200"/>
      <c r="R166" s="305"/>
      <c r="S166" s="206"/>
      <c r="T166" s="1159"/>
      <c r="U166" s="1160"/>
      <c r="V166" s="1160" t="s">
        <v>411</v>
      </c>
      <c r="W166" s="1161"/>
      <c r="Y166" s="100"/>
      <c r="Z166" s="100"/>
      <c r="AA166" s="100"/>
      <c r="AB166" s="100"/>
      <c r="AC166" s="100"/>
      <c r="AD166" s="100"/>
      <c r="AE166" s="100"/>
      <c r="AF166" s="100"/>
      <c r="AG166" s="100"/>
      <c r="AH166" s="100"/>
      <c r="AI166" s="100"/>
      <c r="AJ166" s="100"/>
      <c r="AK166" s="100"/>
    </row>
    <row r="167" s="177" customFormat="true" ht="17.25" hidden="false" customHeight="true" outlineLevel="0" collapsed="false">
      <c r="A167" s="227"/>
      <c r="D167" s="1099"/>
      <c r="E167" s="1163"/>
      <c r="F167" s="1164"/>
      <c r="G167" s="1165"/>
      <c r="H167" s="1099"/>
      <c r="I167" s="1099"/>
      <c r="J167" s="1166"/>
      <c r="K167" s="1167"/>
      <c r="L167" s="200"/>
      <c r="M167" s="200"/>
      <c r="N167" s="1158"/>
      <c r="O167" s="206"/>
      <c r="P167" s="1159"/>
      <c r="Q167" s="1160"/>
      <c r="R167" s="1160" t="s">
        <v>412</v>
      </c>
      <c r="S167" s="1162"/>
      <c r="T167" s="1162"/>
      <c r="U167" s="1162"/>
      <c r="V167" s="1162"/>
      <c r="W167" s="1161"/>
      <c r="Y167" s="100"/>
      <c r="Z167" s="100"/>
      <c r="AA167" s="100"/>
      <c r="AB167" s="100"/>
      <c r="AC167" s="100"/>
      <c r="AD167" s="100"/>
      <c r="AE167" s="100"/>
      <c r="AF167" s="100"/>
      <c r="AG167" s="100"/>
      <c r="AH167" s="100"/>
      <c r="AI167" s="100"/>
      <c r="AJ167" s="100"/>
      <c r="AK167" s="100"/>
    </row>
    <row r="168" customFormat="false" ht="17.25" hidden="false" customHeight="true" outlineLevel="0" collapsed="false">
      <c r="G168" s="1156"/>
      <c r="H168" s="1156"/>
      <c r="I168" s="1156"/>
    </row>
    <row r="169" s="177" customFormat="true" ht="17.25" hidden="false" customHeight="true" outlineLevel="0" collapsed="false">
      <c r="A169" s="227"/>
      <c r="C169" s="121"/>
      <c r="D169" s="1099"/>
      <c r="E169" s="1163"/>
      <c r="F169" s="1164"/>
      <c r="G169" s="1165"/>
      <c r="H169" s="1099"/>
      <c r="I169" s="1099"/>
      <c r="J169" s="1166"/>
      <c r="K169" s="1167"/>
      <c r="L169" s="1168"/>
      <c r="M169" s="1168"/>
      <c r="N169" s="1169"/>
      <c r="O169" s="1170"/>
      <c r="P169" s="200"/>
      <c r="Q169" s="200" t="s">
        <v>107</v>
      </c>
      <c r="R169" s="305"/>
      <c r="S169" s="206" t="s">
        <v>64</v>
      </c>
      <c r="T169" s="200"/>
      <c r="U169" s="200" t="s">
        <v>107</v>
      </c>
      <c r="V169" s="305"/>
      <c r="W169" s="333"/>
      <c r="Y169" s="238"/>
      <c r="Z169" s="238"/>
      <c r="AA169" s="238"/>
      <c r="AB169" s="238"/>
      <c r="AC169" s="238"/>
      <c r="AD169" s="238"/>
      <c r="AE169" s="238"/>
      <c r="AF169" s="238"/>
      <c r="AG169" s="238"/>
      <c r="AH169" s="238"/>
      <c r="AI169" s="238"/>
      <c r="AJ169" s="238"/>
      <c r="AK169" s="238"/>
      <c r="AL169" s="54"/>
      <c r="AM169" s="54"/>
      <c r="AN169" s="238"/>
      <c r="AO169" s="238"/>
      <c r="AP169" s="238"/>
      <c r="AQ169" s="238"/>
    </row>
    <row r="170" s="177" customFormat="true" ht="17.25" hidden="false" customHeight="true" outlineLevel="0" collapsed="false">
      <c r="A170" s="227"/>
      <c r="D170" s="1099"/>
      <c r="E170" s="1163"/>
      <c r="F170" s="1164"/>
      <c r="G170" s="1165"/>
      <c r="H170" s="1099"/>
      <c r="I170" s="1099"/>
      <c r="J170" s="1166"/>
      <c r="K170" s="1167"/>
      <c r="L170" s="1168"/>
      <c r="M170" s="1168"/>
      <c r="N170" s="1169"/>
      <c r="O170" s="1170"/>
      <c r="P170" s="200"/>
      <c r="Q170" s="200"/>
      <c r="R170" s="305"/>
      <c r="S170" s="206"/>
      <c r="T170" s="1159"/>
      <c r="U170" s="1160"/>
      <c r="V170" s="1160" t="s">
        <v>411</v>
      </c>
      <c r="W170" s="1161"/>
      <c r="Y170" s="100"/>
      <c r="Z170" s="100"/>
      <c r="AA170" s="100"/>
      <c r="AB170" s="100"/>
      <c r="AC170" s="100"/>
      <c r="AD170" s="100"/>
      <c r="AE170" s="100"/>
      <c r="AF170" s="100"/>
      <c r="AG170" s="100"/>
      <c r="AH170" s="100"/>
      <c r="AI170" s="100"/>
      <c r="AJ170" s="100"/>
      <c r="AK170" s="100"/>
    </row>
    <row r="171" customFormat="false" ht="17.25" hidden="false" customHeight="true" outlineLevel="0" collapsed="false">
      <c r="G171" s="1156"/>
      <c r="H171" s="1156"/>
      <c r="I171" s="1156"/>
    </row>
    <row r="172" s="177" customFormat="true" ht="17.25" hidden="false" customHeight="true" outlineLevel="0" collapsed="false">
      <c r="A172" s="227"/>
      <c r="C172" s="121"/>
      <c r="D172" s="1099"/>
      <c r="E172" s="1163"/>
      <c r="F172" s="1164"/>
      <c r="G172" s="1165"/>
      <c r="H172" s="1168"/>
      <c r="I172" s="1168"/>
      <c r="J172" s="1171"/>
      <c r="K172" s="1165"/>
      <c r="L172" s="1168"/>
      <c r="M172" s="1168"/>
      <c r="N172" s="1165"/>
      <c r="O172" s="1165"/>
      <c r="P172" s="1168"/>
      <c r="Q172" s="1168"/>
      <c r="R172" s="1172"/>
      <c r="S172" s="1165"/>
      <c r="T172" s="200"/>
      <c r="U172" s="200" t="s">
        <v>107</v>
      </c>
      <c r="V172" s="305"/>
      <c r="W172" s="333"/>
      <c r="Y172" s="238"/>
      <c r="Z172" s="238"/>
      <c r="AA172" s="238"/>
      <c r="AB172" s="238"/>
      <c r="AC172" s="238"/>
      <c r="AD172" s="238"/>
      <c r="AE172" s="238"/>
      <c r="AF172" s="238"/>
      <c r="AG172" s="238"/>
      <c r="AH172" s="238"/>
      <c r="AI172" s="238"/>
      <c r="AJ172" s="238"/>
      <c r="AK172" s="238"/>
      <c r="AL172" s="54"/>
      <c r="AM172" s="54"/>
      <c r="AN172" s="238"/>
      <c r="AO172" s="238"/>
      <c r="AP172" s="238"/>
      <c r="AQ172" s="238"/>
    </row>
    <row r="174" s="1024" customFormat="true" ht="17.25" hidden="false" customHeight="true" outlineLevel="0" collapsed="false">
      <c r="A174" s="1024" t="s">
        <v>1935</v>
      </c>
    </row>
    <row r="175" customFormat="false" ht="17.25" hidden="false" customHeight="true" outlineLevel="0" collapsed="false">
      <c r="G175" s="1156"/>
      <c r="H175" s="1156"/>
      <c r="I175" s="1156"/>
    </row>
    <row r="176" s="177" customFormat="true" ht="17.25" hidden="false" customHeight="true" outlineLevel="0" collapsed="false">
      <c r="A176" s="227"/>
      <c r="C176" s="121"/>
      <c r="D176" s="224"/>
      <c r="E176" s="229"/>
      <c r="F176" s="230"/>
      <c r="G176" s="1157"/>
      <c r="H176" s="224"/>
      <c r="I176" s="224" t="n">
        <v>1</v>
      </c>
      <c r="J176" s="333"/>
      <c r="K176" s="206" t="s">
        <v>64</v>
      </c>
      <c r="L176" s="200"/>
      <c r="M176" s="200" t="s">
        <v>107</v>
      </c>
      <c r="N176" s="1158" t="str">
        <f aca="false">IF(Z176="","",INDEX(TERRITORY_MR_LIST,MATCH(Z176,TERRITORY_LIST_ID,0)))</f>
        <v/>
      </c>
      <c r="O176" s="206" t="s">
        <v>64</v>
      </c>
      <c r="P176" s="200"/>
      <c r="Q176" s="200" t="s">
        <v>107</v>
      </c>
      <c r="R176" s="305"/>
      <c r="S176" s="565" t="s">
        <v>19</v>
      </c>
      <c r="T176" s="565"/>
      <c r="U176" s="565" t="s">
        <v>107</v>
      </c>
      <c r="V176" s="1173"/>
      <c r="W176" s="333"/>
      <c r="Y176" s="238"/>
      <c r="Z176" s="238"/>
      <c r="AA176" s="238"/>
      <c r="AB176" s="238"/>
      <c r="AC176" s="238"/>
      <c r="AD176" s="238"/>
      <c r="AE176" s="238"/>
      <c r="AF176" s="238"/>
      <c r="AG176" s="238"/>
      <c r="AH176" s="238"/>
      <c r="AI176" s="238"/>
      <c r="AJ176" s="238"/>
      <c r="AK176" s="238"/>
      <c r="AL176" s="54"/>
      <c r="AM176" s="54"/>
      <c r="AN176" s="238"/>
      <c r="AO176" s="238"/>
      <c r="AP176" s="238"/>
      <c r="AQ176" s="238"/>
    </row>
    <row r="177" s="177" customFormat="true" ht="17.25" hidden="false" customHeight="true" outlineLevel="0" collapsed="false">
      <c r="A177" s="227"/>
      <c r="D177" s="224"/>
      <c r="E177" s="229"/>
      <c r="F177" s="230"/>
      <c r="G177" s="1157"/>
      <c r="H177" s="224"/>
      <c r="I177" s="224"/>
      <c r="J177" s="333"/>
      <c r="K177" s="206"/>
      <c r="L177" s="200"/>
      <c r="M177" s="200"/>
      <c r="N177" s="1158"/>
      <c r="O177" s="206"/>
      <c r="P177" s="200"/>
      <c r="Q177" s="200"/>
      <c r="R177" s="305"/>
      <c r="S177" s="565"/>
      <c r="T177" s="1174"/>
      <c r="U177" s="1175"/>
      <c r="V177" s="1175"/>
      <c r="W177" s="333"/>
      <c r="Y177" s="100"/>
      <c r="Z177" s="100"/>
      <c r="AA177" s="100"/>
      <c r="AB177" s="100"/>
      <c r="AC177" s="100"/>
      <c r="AD177" s="100"/>
      <c r="AE177" s="100"/>
      <c r="AF177" s="100"/>
      <c r="AG177" s="100"/>
      <c r="AH177" s="100"/>
      <c r="AI177" s="100"/>
      <c r="AJ177" s="100"/>
      <c r="AK177" s="100"/>
    </row>
    <row r="178" s="177" customFormat="true" ht="17.25" hidden="false" customHeight="true" outlineLevel="0" collapsed="false">
      <c r="A178" s="227"/>
      <c r="D178" s="224"/>
      <c r="E178" s="229"/>
      <c r="F178" s="230"/>
      <c r="G178" s="1157"/>
      <c r="H178" s="224"/>
      <c r="I178" s="224"/>
      <c r="J178" s="333"/>
      <c r="K178" s="206"/>
      <c r="L178" s="200"/>
      <c r="M178" s="200"/>
      <c r="N178" s="1158"/>
      <c r="O178" s="206"/>
      <c r="P178" s="1159"/>
      <c r="Q178" s="1160"/>
      <c r="R178" s="1160" t="s">
        <v>412</v>
      </c>
      <c r="S178" s="1162"/>
      <c r="T178" s="1162"/>
      <c r="U178" s="1162"/>
      <c r="V178" s="1162"/>
      <c r="W178" s="1176"/>
      <c r="Y178" s="100"/>
      <c r="Z178" s="100"/>
      <c r="AA178" s="100"/>
      <c r="AB178" s="100"/>
      <c r="AC178" s="100"/>
      <c r="AD178" s="100"/>
      <c r="AE178" s="100"/>
      <c r="AF178" s="100"/>
      <c r="AG178" s="100"/>
      <c r="AH178" s="100"/>
      <c r="AI178" s="100"/>
      <c r="AJ178" s="100"/>
      <c r="AK178" s="100"/>
    </row>
    <row r="179" s="177" customFormat="true" ht="17.25" hidden="false" customHeight="true" outlineLevel="0" collapsed="false">
      <c r="A179" s="227"/>
      <c r="D179" s="224"/>
      <c r="E179" s="229"/>
      <c r="F179" s="230"/>
      <c r="G179" s="1157"/>
      <c r="H179" s="224"/>
      <c r="I179" s="224"/>
      <c r="J179" s="333"/>
      <c r="K179" s="206"/>
      <c r="L179" s="1159"/>
      <c r="M179" s="1160"/>
      <c r="N179" s="1160" t="s">
        <v>413</v>
      </c>
      <c r="O179" s="1160"/>
      <c r="P179" s="1160"/>
      <c r="Q179" s="1160"/>
      <c r="R179" s="1160"/>
      <c r="S179" s="1162"/>
      <c r="T179" s="1162"/>
      <c r="U179" s="1162"/>
      <c r="V179" s="1162"/>
      <c r="W179" s="1161"/>
      <c r="Y179" s="100"/>
      <c r="Z179" s="100"/>
      <c r="AA179" s="100"/>
      <c r="AB179" s="100"/>
      <c r="AC179" s="100"/>
      <c r="AD179" s="100"/>
      <c r="AE179" s="100"/>
      <c r="AF179" s="100"/>
      <c r="AG179" s="100"/>
      <c r="AH179" s="100"/>
      <c r="AI179" s="100"/>
      <c r="AJ179" s="100"/>
      <c r="AK179" s="100"/>
    </row>
    <row r="180" s="177" customFormat="true" ht="17.25" hidden="false" customHeight="true" outlineLevel="0" collapsed="false">
      <c r="A180" s="227"/>
      <c r="D180" s="224"/>
      <c r="E180" s="229"/>
      <c r="F180" s="230"/>
      <c r="G180" s="1157"/>
      <c r="H180" s="1159"/>
      <c r="I180" s="1160"/>
      <c r="J180" s="1160" t="s">
        <v>445</v>
      </c>
      <c r="K180" s="1160"/>
      <c r="L180" s="1160"/>
      <c r="M180" s="1160"/>
      <c r="N180" s="1160"/>
      <c r="O180" s="1160"/>
      <c r="P180" s="1160"/>
      <c r="Q180" s="1160"/>
      <c r="R180" s="1160"/>
      <c r="S180" s="1162"/>
      <c r="T180" s="1162"/>
      <c r="U180" s="1162"/>
      <c r="V180" s="1162"/>
      <c r="W180" s="1161"/>
      <c r="Y180" s="100"/>
      <c r="Z180" s="100"/>
      <c r="AA180" s="100"/>
      <c r="AB180" s="100"/>
      <c r="AC180" s="100"/>
      <c r="AD180" s="100"/>
      <c r="AE180" s="100"/>
      <c r="AF180" s="100"/>
      <c r="AG180" s="100"/>
      <c r="AH180" s="100"/>
      <c r="AI180" s="100"/>
      <c r="AJ180" s="100"/>
      <c r="AK180" s="100"/>
    </row>
    <row r="181" customFormat="false" ht="17.25" hidden="false" customHeight="true" outlineLevel="0" collapsed="false"/>
    <row r="182" s="177" customFormat="true" ht="17.25" hidden="false" customHeight="true" outlineLevel="0" collapsed="false">
      <c r="A182" s="227"/>
      <c r="C182" s="121"/>
      <c r="D182" s="1099"/>
      <c r="E182" s="1163"/>
      <c r="F182" s="1164"/>
      <c r="G182" s="1165"/>
      <c r="H182" s="224"/>
      <c r="I182" s="224" t="n">
        <v>1</v>
      </c>
      <c r="J182" s="333"/>
      <c r="K182" s="206" t="s">
        <v>64</v>
      </c>
      <c r="L182" s="200"/>
      <c r="M182" s="200" t="s">
        <v>107</v>
      </c>
      <c r="N182" s="1158" t="str">
        <f aca="false">IF(Z182="","",INDEX(TERRITORY_MR_LIST,MATCH(Z182,TERRITORY_LIST_ID,0)))</f>
        <v/>
      </c>
      <c r="O182" s="206" t="s">
        <v>64</v>
      </c>
      <c r="P182" s="200"/>
      <c r="Q182" s="200" t="s">
        <v>107</v>
      </c>
      <c r="R182" s="305"/>
      <c r="S182" s="565" t="s">
        <v>19</v>
      </c>
      <c r="T182" s="565"/>
      <c r="U182" s="565" t="s">
        <v>107</v>
      </c>
      <c r="V182" s="1173"/>
      <c r="W182" s="333"/>
      <c r="Y182" s="238"/>
      <c r="Z182" s="238"/>
      <c r="AA182" s="238"/>
      <c r="AB182" s="238"/>
      <c r="AC182" s="238"/>
      <c r="AD182" s="238"/>
      <c r="AE182" s="238"/>
      <c r="AF182" s="238"/>
      <c r="AG182" s="238"/>
      <c r="AH182" s="238"/>
      <c r="AI182" s="238"/>
      <c r="AJ182" s="238"/>
      <c r="AK182" s="238"/>
      <c r="AL182" s="54"/>
      <c r="AM182" s="54"/>
      <c r="AN182" s="238"/>
      <c r="AO182" s="238"/>
      <c r="AP182" s="238"/>
      <c r="AQ182" s="238"/>
    </row>
    <row r="183" s="177" customFormat="true" ht="17.25" hidden="false" customHeight="true" outlineLevel="0" collapsed="false">
      <c r="A183" s="227"/>
      <c r="D183" s="1099"/>
      <c r="E183" s="1163"/>
      <c r="F183" s="1164"/>
      <c r="G183" s="1165"/>
      <c r="H183" s="224"/>
      <c r="I183" s="224"/>
      <c r="J183" s="333"/>
      <c r="K183" s="206"/>
      <c r="L183" s="200"/>
      <c r="M183" s="200"/>
      <c r="N183" s="1158"/>
      <c r="O183" s="206"/>
      <c r="P183" s="200"/>
      <c r="Q183" s="200"/>
      <c r="R183" s="305"/>
      <c r="S183" s="565"/>
      <c r="T183" s="1174"/>
      <c r="U183" s="1175"/>
      <c r="V183" s="1175"/>
      <c r="W183" s="333"/>
      <c r="Y183" s="100"/>
      <c r="Z183" s="100"/>
      <c r="AA183" s="100"/>
      <c r="AB183" s="100"/>
      <c r="AC183" s="100"/>
      <c r="AD183" s="100"/>
      <c r="AE183" s="100"/>
      <c r="AF183" s="100"/>
      <c r="AG183" s="100"/>
      <c r="AH183" s="100"/>
      <c r="AI183" s="100"/>
      <c r="AJ183" s="100"/>
      <c r="AK183" s="100"/>
    </row>
    <row r="184" s="177" customFormat="true" ht="17.25" hidden="false" customHeight="true" outlineLevel="0" collapsed="false">
      <c r="A184" s="227"/>
      <c r="D184" s="1099"/>
      <c r="E184" s="1163"/>
      <c r="F184" s="1164"/>
      <c r="G184" s="1165"/>
      <c r="H184" s="224"/>
      <c r="I184" s="224"/>
      <c r="J184" s="333"/>
      <c r="K184" s="206"/>
      <c r="L184" s="200"/>
      <c r="M184" s="200"/>
      <c r="N184" s="1158"/>
      <c r="O184" s="206"/>
      <c r="P184" s="1159"/>
      <c r="Q184" s="1160"/>
      <c r="R184" s="1160" t="s">
        <v>412</v>
      </c>
      <c r="S184" s="1162"/>
      <c r="T184" s="1162"/>
      <c r="U184" s="1162"/>
      <c r="V184" s="1162"/>
      <c r="W184" s="1176"/>
      <c r="Y184" s="100"/>
      <c r="Z184" s="100"/>
      <c r="AA184" s="100"/>
      <c r="AB184" s="100"/>
      <c r="AC184" s="100"/>
      <c r="AD184" s="100"/>
      <c r="AE184" s="100"/>
      <c r="AF184" s="100"/>
      <c r="AG184" s="100"/>
      <c r="AH184" s="100"/>
      <c r="AI184" s="100"/>
      <c r="AJ184" s="100"/>
      <c r="AK184" s="100"/>
    </row>
    <row r="185" s="177" customFormat="true" ht="17.25" hidden="false" customHeight="true" outlineLevel="0" collapsed="false">
      <c r="A185" s="227"/>
      <c r="D185" s="1099"/>
      <c r="E185" s="1163"/>
      <c r="F185" s="1164"/>
      <c r="G185" s="1165"/>
      <c r="H185" s="224"/>
      <c r="I185" s="224"/>
      <c r="J185" s="333"/>
      <c r="K185" s="206"/>
      <c r="L185" s="1159"/>
      <c r="M185" s="1160"/>
      <c r="N185" s="1160" t="s">
        <v>413</v>
      </c>
      <c r="O185" s="1160"/>
      <c r="P185" s="1160"/>
      <c r="Q185" s="1160"/>
      <c r="R185" s="1160"/>
      <c r="S185" s="1162"/>
      <c r="T185" s="1162"/>
      <c r="U185" s="1162"/>
      <c r="V185" s="1162"/>
      <c r="W185" s="1161"/>
      <c r="Y185" s="100"/>
      <c r="Z185" s="100"/>
      <c r="AA185" s="100"/>
      <c r="AB185" s="100"/>
      <c r="AC185" s="100"/>
      <c r="AD185" s="100"/>
      <c r="AE185" s="100"/>
      <c r="AF185" s="100"/>
      <c r="AG185" s="100"/>
      <c r="AH185" s="100"/>
      <c r="AI185" s="100"/>
      <c r="AJ185" s="100"/>
      <c r="AK185" s="100"/>
    </row>
    <row r="186" customFormat="false" ht="17.25" hidden="false" customHeight="true" outlineLevel="0" collapsed="false"/>
    <row r="187" s="177" customFormat="true" ht="17.25" hidden="false" customHeight="true" outlineLevel="0" collapsed="false">
      <c r="A187" s="227"/>
      <c r="C187" s="121"/>
      <c r="D187" s="1099"/>
      <c r="E187" s="1163"/>
      <c r="F187" s="1164"/>
      <c r="G187" s="1165"/>
      <c r="H187" s="1099"/>
      <c r="I187" s="1099"/>
      <c r="J187" s="1177"/>
      <c r="K187" s="1165"/>
      <c r="L187" s="200"/>
      <c r="M187" s="200" t="s">
        <v>107</v>
      </c>
      <c r="N187" s="1158" t="str">
        <f aca="false">IF(Z187="","",INDEX(TERRITORY_MR_LIST,MATCH(Z187,TERRITORY_LIST_ID,0)))</f>
        <v/>
      </c>
      <c r="O187" s="206" t="s">
        <v>64</v>
      </c>
      <c r="P187" s="200"/>
      <c r="Q187" s="200" t="s">
        <v>107</v>
      </c>
      <c r="R187" s="305"/>
      <c r="S187" s="565" t="s">
        <v>19</v>
      </c>
      <c r="T187" s="565"/>
      <c r="U187" s="565" t="s">
        <v>107</v>
      </c>
      <c r="V187" s="1173"/>
      <c r="W187" s="333"/>
      <c r="Y187" s="238"/>
      <c r="Z187" s="238"/>
      <c r="AA187" s="238"/>
      <c r="AB187" s="238"/>
      <c r="AC187" s="238"/>
      <c r="AD187" s="238"/>
      <c r="AE187" s="238"/>
      <c r="AF187" s="238"/>
      <c r="AG187" s="238"/>
      <c r="AH187" s="238"/>
      <c r="AI187" s="238"/>
      <c r="AJ187" s="238"/>
      <c r="AK187" s="238"/>
      <c r="AL187" s="54"/>
      <c r="AM187" s="54"/>
      <c r="AN187" s="238"/>
      <c r="AO187" s="238"/>
      <c r="AP187" s="238"/>
      <c r="AQ187" s="238"/>
    </row>
    <row r="188" s="177" customFormat="true" ht="17.25" hidden="false" customHeight="true" outlineLevel="0" collapsed="false">
      <c r="A188" s="227"/>
      <c r="D188" s="1099"/>
      <c r="E188" s="1163"/>
      <c r="F188" s="1164"/>
      <c r="G188" s="1165"/>
      <c r="H188" s="1099"/>
      <c r="I188" s="1099"/>
      <c r="J188" s="1177"/>
      <c r="K188" s="1165"/>
      <c r="L188" s="200"/>
      <c r="M188" s="200"/>
      <c r="N188" s="1158"/>
      <c r="O188" s="206"/>
      <c r="P188" s="200"/>
      <c r="Q188" s="200"/>
      <c r="R188" s="305"/>
      <c r="S188" s="565"/>
      <c r="T188" s="1174"/>
      <c r="U188" s="1175"/>
      <c r="V188" s="1175"/>
      <c r="W188" s="333"/>
      <c r="Y188" s="100"/>
      <c r="Z188" s="100"/>
      <c r="AA188" s="100"/>
      <c r="AB188" s="100"/>
      <c r="AC188" s="100"/>
      <c r="AD188" s="100"/>
      <c r="AE188" s="100"/>
      <c r="AF188" s="100"/>
      <c r="AG188" s="100"/>
      <c r="AH188" s="100"/>
      <c r="AI188" s="100"/>
      <c r="AJ188" s="100"/>
      <c r="AK188" s="100"/>
    </row>
    <row r="189" s="177" customFormat="true" ht="17.25" hidden="false" customHeight="true" outlineLevel="0" collapsed="false">
      <c r="A189" s="227"/>
      <c r="D189" s="1099"/>
      <c r="E189" s="1163"/>
      <c r="F189" s="1164"/>
      <c r="G189" s="1165"/>
      <c r="H189" s="1099"/>
      <c r="I189" s="1099"/>
      <c r="J189" s="1177"/>
      <c r="K189" s="1165"/>
      <c r="L189" s="200"/>
      <c r="M189" s="200"/>
      <c r="N189" s="1158"/>
      <c r="O189" s="206"/>
      <c r="P189" s="1159"/>
      <c r="Q189" s="1160"/>
      <c r="R189" s="1160" t="s">
        <v>412</v>
      </c>
      <c r="S189" s="1162"/>
      <c r="T189" s="1162"/>
      <c r="U189" s="1162"/>
      <c r="V189" s="1162"/>
      <c r="W189" s="1176"/>
      <c r="Y189" s="100"/>
      <c r="Z189" s="100"/>
      <c r="AA189" s="100"/>
      <c r="AB189" s="100"/>
      <c r="AC189" s="100"/>
      <c r="AD189" s="100"/>
      <c r="AE189" s="100"/>
      <c r="AF189" s="100"/>
      <c r="AG189" s="100"/>
      <c r="AH189" s="100"/>
      <c r="AI189" s="100"/>
      <c r="AJ189" s="100"/>
      <c r="AK189" s="100"/>
    </row>
    <row r="190" customFormat="false" ht="17.25" hidden="false" customHeight="true" outlineLevel="0" collapsed="false"/>
    <row r="191" s="177" customFormat="true" ht="17.25" hidden="false" customHeight="true" outlineLevel="0" collapsed="false">
      <c r="A191" s="227"/>
      <c r="C191" s="121"/>
      <c r="D191" s="1099"/>
      <c r="E191" s="1163"/>
      <c r="F191" s="1164"/>
      <c r="G191" s="1165"/>
      <c r="H191" s="1099"/>
      <c r="I191" s="1099"/>
      <c r="J191" s="1177"/>
      <c r="K191" s="1165"/>
      <c r="L191" s="1099"/>
      <c r="M191" s="1099"/>
      <c r="N191" s="1169"/>
      <c r="O191" s="1170"/>
      <c r="P191" s="200"/>
      <c r="Q191" s="200" t="s">
        <v>107</v>
      </c>
      <c r="R191" s="305"/>
      <c r="S191" s="565" t="s">
        <v>19</v>
      </c>
      <c r="T191" s="565"/>
      <c r="U191" s="565" t="s">
        <v>107</v>
      </c>
      <c r="V191" s="1173"/>
      <c r="W191" s="333"/>
      <c r="Y191" s="238"/>
      <c r="Z191" s="238"/>
      <c r="AA191" s="238"/>
      <c r="AB191" s="238"/>
      <c r="AC191" s="238"/>
      <c r="AD191" s="238"/>
      <c r="AE191" s="238"/>
      <c r="AF191" s="238"/>
      <c r="AG191" s="238"/>
      <c r="AH191" s="238"/>
      <c r="AI191" s="238"/>
      <c r="AJ191" s="238"/>
      <c r="AK191" s="238"/>
      <c r="AL191" s="54"/>
      <c r="AM191" s="54"/>
      <c r="AN191" s="238"/>
      <c r="AO191" s="238"/>
      <c r="AP191" s="238"/>
      <c r="AQ191" s="238"/>
    </row>
    <row r="192" s="177" customFormat="true" ht="17.25" hidden="false" customHeight="true" outlineLevel="0" collapsed="false">
      <c r="A192" s="227"/>
      <c r="D192" s="1099"/>
      <c r="E192" s="1163"/>
      <c r="F192" s="1164"/>
      <c r="G192" s="1165"/>
      <c r="H192" s="1099"/>
      <c r="I192" s="1099"/>
      <c r="J192" s="1177"/>
      <c r="K192" s="1165"/>
      <c r="L192" s="1099"/>
      <c r="M192" s="1099"/>
      <c r="N192" s="1169"/>
      <c r="O192" s="1170"/>
      <c r="P192" s="200"/>
      <c r="Q192" s="200"/>
      <c r="R192" s="305"/>
      <c r="S192" s="565"/>
      <c r="T192" s="1174"/>
      <c r="U192" s="1175"/>
      <c r="V192" s="1175"/>
      <c r="W192" s="333"/>
      <c r="Y192" s="100"/>
      <c r="Z192" s="100"/>
      <c r="AA192" s="100"/>
      <c r="AB192" s="100"/>
      <c r="AC192" s="100"/>
      <c r="AD192" s="100"/>
      <c r="AE192" s="100"/>
      <c r="AF192" s="100"/>
      <c r="AG192" s="100"/>
      <c r="AH192" s="100"/>
      <c r="AI192" s="100"/>
      <c r="AJ192" s="100"/>
      <c r="AK192" s="100"/>
    </row>
    <row r="193" customFormat="false" ht="17.25" hidden="false" customHeight="true" outlineLevel="0" collapsed="false"/>
    <row r="194" customFormat="false" ht="16.5" hidden="false" customHeight="true" outlineLevel="0" collapsed="false">
      <c r="A194" s="227"/>
      <c r="B194" s="177"/>
      <c r="C194" s="177"/>
      <c r="D194" s="224"/>
      <c r="E194" s="281"/>
      <c r="F194" s="281"/>
      <c r="G194" s="138"/>
      <c r="H194" s="231"/>
      <c r="I194" s="232"/>
      <c r="J194" s="233"/>
      <c r="K194" s="234"/>
      <c r="L194" s="234"/>
      <c r="M194" s="234"/>
      <c r="N194" s="235"/>
      <c r="O194" s="234"/>
      <c r="P194" s="234"/>
      <c r="Q194" s="234"/>
      <c r="R194" s="236"/>
      <c r="S194" s="234"/>
      <c r="T194" s="234"/>
      <c r="U194" s="234"/>
      <c r="V194" s="236"/>
      <c r="W194" s="237"/>
    </row>
    <row r="195" customFormat="false" ht="16.5" hidden="false" customHeight="true" outlineLevel="0" collapsed="false">
      <c r="A195" s="227"/>
      <c r="B195" s="177"/>
      <c r="C195" s="177"/>
      <c r="D195" s="224"/>
      <c r="E195" s="281"/>
      <c r="F195" s="281"/>
      <c r="G195" s="138"/>
      <c r="H195" s="231"/>
      <c r="I195" s="232"/>
      <c r="J195" s="233"/>
      <c r="K195" s="234"/>
      <c r="L195" s="234"/>
      <c r="M195" s="234"/>
      <c r="N195" s="235"/>
      <c r="O195" s="234"/>
      <c r="P195" s="234"/>
      <c r="Q195" s="234"/>
      <c r="R195" s="236"/>
      <c r="S195" s="234"/>
      <c r="T195" s="239"/>
      <c r="U195" s="239"/>
      <c r="V195" s="239"/>
      <c r="W195" s="240"/>
    </row>
    <row r="196" customFormat="false" ht="17.25" hidden="false" customHeight="true" outlineLevel="0" collapsed="false">
      <c r="A196" s="227"/>
      <c r="B196" s="177"/>
      <c r="C196" s="177"/>
      <c r="D196" s="224"/>
      <c r="E196" s="281"/>
      <c r="F196" s="281"/>
      <c r="G196" s="138"/>
      <c r="H196" s="231"/>
      <c r="I196" s="232"/>
      <c r="J196" s="233"/>
      <c r="K196" s="234"/>
      <c r="L196" s="234"/>
      <c r="M196" s="234"/>
      <c r="N196" s="235"/>
      <c r="O196" s="234"/>
      <c r="P196" s="118"/>
      <c r="Q196" s="239"/>
      <c r="R196" s="239"/>
      <c r="S196" s="177"/>
      <c r="T196" s="177"/>
      <c r="U196" s="177"/>
      <c r="V196" s="177"/>
      <c r="W196" s="240"/>
    </row>
    <row r="197" customFormat="false" ht="17.25" hidden="false" customHeight="true" outlineLevel="0" collapsed="false">
      <c r="A197" s="227"/>
      <c r="B197" s="177"/>
      <c r="C197" s="177"/>
      <c r="D197" s="224"/>
      <c r="E197" s="281"/>
      <c r="F197" s="281"/>
      <c r="G197" s="138"/>
      <c r="H197" s="231"/>
      <c r="I197" s="232"/>
      <c r="J197" s="233"/>
      <c r="K197" s="234"/>
      <c r="L197" s="239"/>
      <c r="M197" s="239"/>
      <c r="N197" s="239"/>
      <c r="O197" s="239"/>
      <c r="P197" s="239"/>
      <c r="Q197" s="239"/>
      <c r="R197" s="239"/>
      <c r="S197" s="177"/>
      <c r="T197" s="177"/>
      <c r="U197" s="177"/>
      <c r="V197" s="177"/>
      <c r="W197" s="240"/>
    </row>
    <row r="198" customFormat="false" ht="17.25" hidden="false" customHeight="true" outlineLevel="0" collapsed="false">
      <c r="A198" s="227"/>
      <c r="B198" s="177"/>
      <c r="C198" s="177"/>
      <c r="D198" s="224"/>
      <c r="E198" s="281"/>
      <c r="F198" s="281"/>
      <c r="G198" s="138"/>
      <c r="H198" s="241"/>
      <c r="I198" s="242"/>
      <c r="J198" s="242"/>
      <c r="K198" s="242"/>
      <c r="L198" s="242"/>
      <c r="M198" s="242"/>
      <c r="N198" s="242"/>
      <c r="O198" s="242"/>
      <c r="P198" s="242"/>
      <c r="Q198" s="242"/>
      <c r="R198" s="242"/>
      <c r="S198" s="243"/>
      <c r="T198" s="243"/>
      <c r="U198" s="243"/>
      <c r="V198" s="243"/>
      <c r="W198" s="244"/>
    </row>
    <row r="200" s="1024" customFormat="true" ht="17.25" hidden="false" customHeight="true" outlineLevel="0" collapsed="false">
      <c r="A200" s="1024" t="s">
        <v>1936</v>
      </c>
    </row>
    <row r="201" customFormat="false" ht="17.25" hidden="false" customHeight="true" outlineLevel="0" collapsed="false">
      <c r="G201" s="1156"/>
      <c r="H201" s="1156"/>
      <c r="I201" s="1156"/>
    </row>
    <row r="202" s="55" customFormat="true" ht="15" hidden="false" customHeight="true" outlineLevel="0" collapsed="false">
      <c r="D202" s="1178"/>
      <c r="E202" s="261"/>
      <c r="F202" s="261"/>
      <c r="G202" s="206"/>
      <c r="H202" s="1179"/>
      <c r="I202" s="1180" t="n">
        <v>1</v>
      </c>
      <c r="J202" s="1181"/>
      <c r="K202" s="1017"/>
      <c r="L202" s="1182" t="s">
        <v>64</v>
      </c>
      <c r="M202" s="1182" t="s">
        <v>64</v>
      </c>
      <c r="N202" s="1179"/>
      <c r="O202" s="200" t="s">
        <v>107</v>
      </c>
      <c r="P202" s="1183"/>
      <c r="Q202" s="1017"/>
      <c r="R202" s="1182" t="s">
        <v>64</v>
      </c>
      <c r="S202" s="1182" t="s">
        <v>64</v>
      </c>
      <c r="T202" s="1184"/>
      <c r="U202" s="200" t="s">
        <v>107</v>
      </c>
      <c r="V202" s="1185" t="str">
        <f aca="false">IF(AK202="","",INDEX(TERRITORY_MR_LIST,MATCH(AK202,TERRITORY_LIST_ID,0)))</f>
        <v/>
      </c>
      <c r="W202" s="207"/>
      <c r="X202" s="1182" t="s">
        <v>64</v>
      </c>
      <c r="Y202" s="1182" t="s">
        <v>19</v>
      </c>
      <c r="Z202" s="1179"/>
      <c r="AA202" s="200" t="s">
        <v>107</v>
      </c>
      <c r="AB202" s="334"/>
      <c r="AC202" s="266"/>
      <c r="AD202" s="206" t="s">
        <v>64</v>
      </c>
      <c r="AE202" s="206" t="s">
        <v>19</v>
      </c>
      <c r="AF202" s="207"/>
      <c r="AG202" s="200" t="s">
        <v>107</v>
      </c>
      <c r="AH202" s="1100"/>
      <c r="AI202" s="333"/>
    </row>
    <row r="203" s="55" customFormat="true" ht="15" hidden="false" customHeight="true" outlineLevel="0" collapsed="false">
      <c r="D203" s="1178"/>
      <c r="E203" s="261"/>
      <c r="F203" s="261"/>
      <c r="G203" s="206"/>
      <c r="H203" s="1179"/>
      <c r="I203" s="1180"/>
      <c r="J203" s="1181"/>
      <c r="K203" s="1186"/>
      <c r="L203" s="1182"/>
      <c r="M203" s="1182"/>
      <c r="N203" s="1179"/>
      <c r="O203" s="200"/>
      <c r="P203" s="1183"/>
      <c r="Q203" s="1187"/>
      <c r="R203" s="1182"/>
      <c r="S203" s="1182"/>
      <c r="T203" s="1184"/>
      <c r="U203" s="200"/>
      <c r="V203" s="1185"/>
      <c r="W203" s="1188"/>
      <c r="X203" s="1182"/>
      <c r="Y203" s="1182"/>
      <c r="Z203" s="1179"/>
      <c r="AA203" s="200"/>
      <c r="AB203" s="334"/>
      <c r="AC203" s="699"/>
      <c r="AD203" s="206"/>
      <c r="AE203" s="206"/>
      <c r="AF203" s="1189"/>
      <c r="AG203" s="1159"/>
      <c r="AH203" s="1161" t="s">
        <v>1937</v>
      </c>
      <c r="AI203" s="1161"/>
    </row>
    <row r="204" s="55" customFormat="true" ht="15" hidden="false" customHeight="true" outlineLevel="0" collapsed="false">
      <c r="D204" s="1178"/>
      <c r="E204" s="261"/>
      <c r="F204" s="261"/>
      <c r="G204" s="206"/>
      <c r="H204" s="1179"/>
      <c r="I204" s="1180"/>
      <c r="J204" s="1181"/>
      <c r="K204" s="1186"/>
      <c r="L204" s="1182"/>
      <c r="M204" s="1182"/>
      <c r="N204" s="1179"/>
      <c r="O204" s="200"/>
      <c r="P204" s="1183"/>
      <c r="Q204" s="1187"/>
      <c r="R204" s="1182"/>
      <c r="S204" s="1182"/>
      <c r="T204" s="1184"/>
      <c r="U204" s="200"/>
      <c r="V204" s="1185"/>
      <c r="W204" s="1188"/>
      <c r="X204" s="1182"/>
      <c r="Y204" s="1182"/>
      <c r="Z204" s="1188"/>
      <c r="AA204" s="1190"/>
      <c r="AB204" s="1191" t="s">
        <v>1938</v>
      </c>
      <c r="AC204" s="1191"/>
      <c r="AD204" s="1191"/>
      <c r="AE204" s="1191"/>
      <c r="AF204" s="1191"/>
      <c r="AG204" s="1191"/>
      <c r="AH204" s="1191"/>
      <c r="AI204" s="1191"/>
    </row>
    <row r="205" s="55" customFormat="true" ht="15" hidden="false" customHeight="true" outlineLevel="0" collapsed="false">
      <c r="D205" s="1178"/>
      <c r="E205" s="261"/>
      <c r="F205" s="261"/>
      <c r="G205" s="206"/>
      <c r="H205" s="1179"/>
      <c r="I205" s="1180"/>
      <c r="J205" s="1181"/>
      <c r="K205" s="1186"/>
      <c r="L205" s="1182"/>
      <c r="M205" s="1182"/>
      <c r="N205" s="1179"/>
      <c r="O205" s="200"/>
      <c r="P205" s="1183"/>
      <c r="Q205" s="1187"/>
      <c r="R205" s="1182"/>
      <c r="S205" s="1182"/>
      <c r="T205" s="1192"/>
      <c r="U205" s="1193"/>
      <c r="V205" s="1161" t="s">
        <v>101</v>
      </c>
      <c r="W205" s="1161"/>
      <c r="X205" s="1161"/>
      <c r="Y205" s="1161"/>
      <c r="Z205" s="1161"/>
      <c r="AA205" s="1161"/>
      <c r="AB205" s="1161"/>
      <c r="AC205" s="1161"/>
      <c r="AD205" s="1161"/>
      <c r="AE205" s="1161"/>
      <c r="AF205" s="1161"/>
      <c r="AG205" s="1161"/>
      <c r="AH205" s="1161"/>
      <c r="AI205" s="1161"/>
    </row>
    <row r="206" s="55" customFormat="true" ht="11.25" hidden="false" customHeight="true" outlineLevel="0" collapsed="false">
      <c r="D206" s="1178"/>
      <c r="E206" s="261"/>
      <c r="F206" s="261"/>
      <c r="G206" s="206"/>
      <c r="H206" s="1168"/>
      <c r="I206" s="1180"/>
      <c r="J206" s="1181"/>
      <c r="K206" s="1186"/>
      <c r="L206" s="1182"/>
      <c r="M206" s="1182"/>
      <c r="N206" s="1168"/>
      <c r="O206" s="1190"/>
      <c r="P206" s="1161" t="s">
        <v>1939</v>
      </c>
      <c r="Q206" s="1161"/>
      <c r="R206" s="1161"/>
      <c r="S206" s="1161"/>
      <c r="T206" s="1161"/>
      <c r="U206" s="1161"/>
      <c r="V206" s="1161"/>
      <c r="W206" s="1161"/>
      <c r="X206" s="1161"/>
      <c r="Y206" s="1161"/>
      <c r="Z206" s="1161"/>
      <c r="AA206" s="1161"/>
      <c r="AB206" s="1161"/>
      <c r="AC206" s="1161"/>
      <c r="AD206" s="1161"/>
      <c r="AE206" s="1161"/>
      <c r="AF206" s="1161"/>
      <c r="AG206" s="1161"/>
      <c r="AH206" s="1161"/>
      <c r="AI206" s="1161"/>
    </row>
    <row r="207" s="253" customFormat="true" ht="11.25" hidden="false" customHeight="true" outlineLevel="0" collapsed="false">
      <c r="D207" s="1178"/>
      <c r="E207" s="261"/>
      <c r="F207" s="261"/>
      <c r="G207" s="206"/>
      <c r="H207" s="1194"/>
      <c r="I207" s="1195"/>
      <c r="J207" s="1161" t="s">
        <v>445</v>
      </c>
      <c r="K207" s="1161"/>
      <c r="L207" s="1161"/>
      <c r="M207" s="1161"/>
      <c r="N207" s="1161"/>
      <c r="O207" s="1161"/>
      <c r="P207" s="1161"/>
      <c r="Q207" s="1161"/>
      <c r="R207" s="1161"/>
      <c r="S207" s="1161"/>
      <c r="T207" s="1161"/>
      <c r="U207" s="1161"/>
      <c r="V207" s="1161"/>
      <c r="W207" s="1161"/>
      <c r="X207" s="1161"/>
      <c r="Y207" s="1161"/>
      <c r="Z207" s="1161"/>
      <c r="AA207" s="1161"/>
      <c r="AB207" s="1161"/>
      <c r="AC207" s="1161"/>
      <c r="AD207" s="1161"/>
      <c r="AE207" s="1161"/>
      <c r="AF207" s="1161"/>
      <c r="AG207" s="1161"/>
      <c r="AH207" s="1161"/>
      <c r="AI207" s="1161"/>
      <c r="BK207" s="55"/>
    </row>
    <row r="208" customFormat="false" ht="17.25" hidden="false" customHeight="true" outlineLevel="0" collapsed="false">
      <c r="G208" s="1156"/>
      <c r="I208" s="1156"/>
      <c r="J208" s="1156"/>
    </row>
    <row r="209" s="55" customFormat="true" ht="15" hidden="false" customHeight="true" outlineLevel="0" collapsed="false">
      <c r="D209" s="1178"/>
      <c r="E209" s="261"/>
      <c r="F209" s="261"/>
      <c r="G209" s="281"/>
      <c r="H209" s="267"/>
      <c r="I209" s="268"/>
      <c r="J209" s="233"/>
      <c r="K209" s="233"/>
      <c r="L209" s="234"/>
      <c r="M209" s="234"/>
      <c r="N209" s="269"/>
      <c r="O209" s="234"/>
      <c r="P209" s="233"/>
      <c r="Q209" s="233"/>
      <c r="R209" s="234"/>
      <c r="S209" s="234"/>
      <c r="T209" s="270"/>
      <c r="U209" s="234"/>
      <c r="V209" s="233"/>
      <c r="W209" s="234"/>
      <c r="X209" s="234"/>
      <c r="Y209" s="234"/>
      <c r="Z209" s="269"/>
      <c r="AA209" s="234"/>
      <c r="AB209" s="233"/>
      <c r="AC209" s="271"/>
      <c r="AD209" s="234"/>
      <c r="AE209" s="234"/>
      <c r="AF209" s="234"/>
      <c r="AG209" s="234"/>
      <c r="AH209" s="269"/>
      <c r="AI209" s="237"/>
    </row>
    <row r="210" s="55" customFormat="true" ht="15" hidden="false" customHeight="true" outlineLevel="0" collapsed="false">
      <c r="D210" s="1178"/>
      <c r="E210" s="261"/>
      <c r="F210" s="261"/>
      <c r="G210" s="281"/>
      <c r="H210" s="272"/>
      <c r="I210" s="268"/>
      <c r="J210" s="233"/>
      <c r="K210" s="77"/>
      <c r="L210" s="234"/>
      <c r="M210" s="234"/>
      <c r="N210" s="52"/>
      <c r="O210" s="234"/>
      <c r="P210" s="233"/>
      <c r="Q210" s="273"/>
      <c r="R210" s="234"/>
      <c r="S210" s="234"/>
      <c r="T210" s="274"/>
      <c r="U210" s="234"/>
      <c r="V210" s="233"/>
      <c r="W210" s="118"/>
      <c r="X210" s="234"/>
      <c r="Y210" s="234"/>
      <c r="Z210" s="52"/>
      <c r="AA210" s="234"/>
      <c r="AB210" s="233"/>
      <c r="AC210" s="77"/>
      <c r="AD210" s="234"/>
      <c r="AE210" s="234"/>
      <c r="AF210" s="239"/>
      <c r="AG210" s="239"/>
      <c r="AH210" s="240"/>
      <c r="AI210" s="240"/>
    </row>
    <row r="211" s="55" customFormat="true" ht="15" hidden="false" customHeight="true" outlineLevel="0" collapsed="false">
      <c r="D211" s="1178"/>
      <c r="E211" s="261"/>
      <c r="F211" s="261"/>
      <c r="G211" s="281"/>
      <c r="H211" s="272"/>
      <c r="I211" s="268"/>
      <c r="J211" s="233"/>
      <c r="K211" s="77"/>
      <c r="L211" s="234"/>
      <c r="M211" s="234"/>
      <c r="N211" s="52"/>
      <c r="O211" s="234"/>
      <c r="P211" s="233"/>
      <c r="Q211" s="273"/>
      <c r="R211" s="234"/>
      <c r="S211" s="234"/>
      <c r="T211" s="274"/>
      <c r="U211" s="234"/>
      <c r="V211" s="233"/>
      <c r="W211" s="118"/>
      <c r="X211" s="234"/>
      <c r="Y211" s="234"/>
      <c r="Z211" s="118"/>
      <c r="AA211" s="239"/>
      <c r="AB211" s="240"/>
      <c r="AC211" s="240"/>
      <c r="AD211" s="240"/>
      <c r="AE211" s="240"/>
      <c r="AF211" s="240"/>
      <c r="AG211" s="240"/>
      <c r="AH211" s="240"/>
      <c r="AI211" s="240"/>
    </row>
    <row r="212" s="55" customFormat="true" ht="15" hidden="false" customHeight="true" outlineLevel="0" collapsed="false">
      <c r="D212" s="1178"/>
      <c r="E212" s="261"/>
      <c r="F212" s="261"/>
      <c r="G212" s="281"/>
      <c r="H212" s="272"/>
      <c r="I212" s="268"/>
      <c r="J212" s="233"/>
      <c r="K212" s="77"/>
      <c r="L212" s="234"/>
      <c r="M212" s="234"/>
      <c r="N212" s="52"/>
      <c r="O212" s="234"/>
      <c r="P212" s="233"/>
      <c r="Q212" s="273"/>
      <c r="R212" s="234"/>
      <c r="S212" s="234"/>
      <c r="T212" s="275"/>
      <c r="U212" s="276"/>
      <c r="V212" s="240"/>
      <c r="W212" s="240"/>
      <c r="X212" s="240"/>
      <c r="Y212" s="240"/>
      <c r="Z212" s="240"/>
      <c r="AA212" s="240"/>
      <c r="AB212" s="240"/>
      <c r="AC212" s="240"/>
      <c r="AD212" s="240"/>
      <c r="AE212" s="240"/>
      <c r="AF212" s="240"/>
      <c r="AG212" s="240"/>
      <c r="AH212" s="240"/>
      <c r="AI212" s="240"/>
    </row>
    <row r="213" s="55" customFormat="true" ht="11.25" hidden="false" customHeight="true" outlineLevel="0" collapsed="false">
      <c r="D213" s="1178"/>
      <c r="E213" s="261"/>
      <c r="F213" s="261"/>
      <c r="G213" s="281"/>
      <c r="H213" s="277"/>
      <c r="I213" s="268"/>
      <c r="J213" s="233"/>
      <c r="K213" s="77"/>
      <c r="L213" s="234"/>
      <c r="M213" s="234"/>
      <c r="N213" s="239"/>
      <c r="O213" s="239"/>
      <c r="P213" s="240"/>
      <c r="Q213" s="240"/>
      <c r="R213" s="240"/>
      <c r="S213" s="240"/>
      <c r="T213" s="240"/>
      <c r="U213" s="240"/>
      <c r="V213" s="240"/>
      <c r="W213" s="240"/>
      <c r="X213" s="240"/>
      <c r="Y213" s="240"/>
      <c r="Z213" s="240"/>
      <c r="AA213" s="240"/>
      <c r="AB213" s="240"/>
      <c r="AC213" s="240"/>
      <c r="AD213" s="240"/>
      <c r="AE213" s="240"/>
      <c r="AF213" s="240"/>
      <c r="AG213" s="240"/>
      <c r="AH213" s="240"/>
      <c r="AI213" s="240"/>
    </row>
    <row r="214" s="253" customFormat="true" ht="11.25" hidden="false" customHeight="true" outlineLevel="0" collapsed="false">
      <c r="D214" s="1178"/>
      <c r="E214" s="261"/>
      <c r="F214" s="261"/>
      <c r="G214" s="281"/>
      <c r="H214" s="278"/>
      <c r="I214" s="279"/>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BK214" s="55"/>
    </row>
    <row r="215" customFormat="false" ht="17.25" hidden="false" customHeight="true" outlineLevel="0" collapsed="false"/>
  </sheetData>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20">
    <dataValidation allowBlank="true" error="Допускается ввод не более 900 символов!" errorStyle="stop" errorTitle="Ошибка" operator="lessThanOrEqual" showDropDown="false" showErrorMessage="true" showInputMessage="true" sqref="E4 E8 G13 M34 E39 E43:F43 F48 F50:F51 E60 E64:F64 E68 G68 L72:M72 Q72:S72 U72:W72 AB72 L77:M77 Q77:S77 U77:W77 AB77 K82:K83 M82 K84:K85 K91:K93 K97 K101:K102 M101 K103:K104 I110 J154:J155 R154:R155 V154:W154 J160:J161 R160:R161 V160:W160 J165:J166 R165:R166 V165:W165 J169:J170 R169:R170 V169:W169 J172 R172 V172:W172 J176:J177 R176:R177 V176:W176 J182:J183 R182:R183 V182:W182 J187:J188 R187:R188 V187:W187 J191:J192 R191:R192 V191:W191 J194:J195 R194:R195 V194:W194 J202:J203 P202:P205 AI202 J204:J206 J209:J210 P209:P212 AI209 J211:J21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60:I60 K60 M60 O60 Q60 T60 X60 AB60 AC84 AE84 AC92 AE92 AC97 AE97 AC103 AE103 O140 Q140 O147 Q147 O150 Q150"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60"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60 N60 P60 R60:S60 U60:V60 Y60:Z60 AC60 AF82:AF86 AI82:AI86 AF91:AF93 AI91:AI93 AF97 AI97 AF101:AF105 AI101:AI105" type="whole">
      <formula1>0</formula1>
      <formula2>9.99999999999999E+023</formula2>
    </dataValidation>
    <dataValidation allowBlank="true" error="Допускается ввод не более 900 символов!" errorStyle="stop" operator="lessThan" showDropDown="false" showErrorMessage="true" showInputMessage="true" sqref="M23 M29" type="textLength">
      <formula1>900</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54:G158 G160:G163 G165:G167 G169:G170 G172 G176:G180 G182:G185 G187:G189 G191:G192"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54:F156 K154 O154 S154:S155 F157:F158 F160:F162 K160 O160 S160:S161 F163 F165:F167 K165 O165 S165:S166 F169:F170 K169 O169 S169:S170 F172 F176:F178 K176 O176 S176:S177 F179:F180 F182:F184 K182 O182 S182:S183 F185 F187:F189 O187 S187:S188 F191:F192 O191 S191:S192 K194:K195 O194:O195 S194:S19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49 G64 I72:J72 T72 X72 I77:J77 T77 X77"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39 K72 K77 I82:J85 I97:J97 I101:J104" type="list">
      <formula1>"a"</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56 H64 F68" type="textLength">
      <formula1>900</formula1>
      <formula2>0</formula2>
    </dataValidation>
    <dataValidation allowBlank="true" errorStyle="stop" operator="between" prompt="Изменение значения по двойному щелчоку левой кнопки мыши" showDropDown="false" showErrorMessage="true" showInputMessage="true" sqref="J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O110:AB110 BT110:CK110 CY110:DJ110" type="decimal">
      <formula1>-9.99999999999999E+023</formula1>
      <formula2>9.99999999999999E+023</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202 AC209" type="list">
      <formula1>list_typetko</formula1>
      <formula2>0</formula2>
    </dataValidation>
    <dataValidation allowBlank="true" errorStyle="stop"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54:N156 N160:N162 N165:N167 N169:N170 N176:N178 N182:N184 N187:N189 N191:N192"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110" type="list">
      <formula1>QRE_METHOD_LIST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J140:J141 J147:J148 J150" type="list">
      <formula1>kind_of_purchase_method</formula1>
      <formula2>0</formula2>
    </dataValidation>
    <dataValidation allowBlank="true" errorStyle="stop" operator="between" prompt="Для выбора ИП необходимо два раза нажать левую кнопку мыши!" promptTitle="Ввод" showDropDown="false" showErrorMessage="true" showInputMessage="true" sqref="G72 G77"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60" type="list">
      <formula1>kind_of_power_te_unit</formula1>
      <formula2>0</formula2>
    </dataValidation>
    <dataValidation allowBlank="true" errorStyle="stop" operator="between" showDropDown="false" showErrorMessage="true" showInputMessage="true" sqref="I34" type="list">
      <formula1>DESCRIPTION_TERRITORY</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94:N196" type="list">
      <formula1>DESCRIPTION_TERRITORY</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H3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43.15234375" defaultRowHeight="9" zeroHeight="false" outlineLevelRow="0" outlineLevelCol="0"/>
  <cols>
    <col collapsed="false" customWidth="false" hidden="false" outlineLevel="0" max="1" min="1" style="1196" width="43.15"/>
    <col collapsed="false" customWidth="false" hidden="true" outlineLevel="0" max="2" min="2" style="1196" width="43.15"/>
    <col collapsed="false" customWidth="false" hidden="false" outlineLevel="0" max="3" min="3" style="1196" width="43.15"/>
    <col collapsed="false" customWidth="true" hidden="false" outlineLevel="0" max="5" min="4" style="1196" width="36.43"/>
    <col collapsed="false" customWidth="true" hidden="false" outlineLevel="0" max="8" min="6" style="1197" width="36.43"/>
  </cols>
  <sheetData>
    <row r="1" customFormat="false" ht="9" hidden="false" customHeight="true" outlineLevel="0" collapsed="false">
      <c r="A1" s="1198" t="s">
        <v>1940</v>
      </c>
      <c r="B1" s="1198"/>
      <c r="C1" s="1199" t="s">
        <v>1941</v>
      </c>
      <c r="D1" s="1200" t="s">
        <v>805</v>
      </c>
      <c r="E1" s="1200" t="s">
        <v>851</v>
      </c>
      <c r="F1" s="1200" t="s">
        <v>904</v>
      </c>
      <c r="G1" s="1200" t="s">
        <v>891</v>
      </c>
      <c r="H1" s="1200" t="s">
        <v>1617</v>
      </c>
    </row>
    <row r="2" customFormat="false" ht="9" hidden="false" customHeight="true" outlineLevel="0" collapsed="false">
      <c r="A2" s="1201" t="s">
        <v>1942</v>
      </c>
      <c r="B2" s="1201"/>
      <c r="C2" s="1202" t="str">
        <f aca="false">INDEX(TEMPLATE_NUMBER_FORM_LIST,MATCH(TEMPLATE_SPHERE,TEMPLATE_SPHERE_LIST,0))</f>
        <v>10</v>
      </c>
      <c r="D2" s="1201" t="s">
        <v>1466</v>
      </c>
      <c r="E2" s="1201" t="s">
        <v>148</v>
      </c>
      <c r="F2" s="1203" t="s">
        <v>148</v>
      </c>
      <c r="G2" s="1201" t="s">
        <v>148</v>
      </c>
      <c r="H2" s="1204"/>
    </row>
    <row r="3" customFormat="false" ht="63" hidden="false" customHeight="true" outlineLevel="0" collapsed="false">
      <c r="A3" s="1198"/>
      <c r="B3" s="1198" t="s">
        <v>107</v>
      </c>
      <c r="C3" s="1202" t="str">
        <f aca="false">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202" t="s">
        <v>1943</v>
      </c>
      <c r="E3" s="1202" t="str">
        <f aca="false">"Форма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203"/>
      <c r="G3" s="1204"/>
      <c r="H3" s="1198"/>
    </row>
    <row r="4" customFormat="false" ht="243" hidden="false" customHeight="true" outlineLevel="0" collapsed="false">
      <c r="A4" s="1198" t="s">
        <v>1944</v>
      </c>
      <c r="B4" s="1198" t="s">
        <v>108</v>
      </c>
      <c r="C4" s="1202" t="str">
        <f aca="false">IF(TEMPLATE_SPHERE="HEAT",D4,IF(TEMPLATE_SPHERE="TKO",H4,E4))</f>
        <v>Форма 1. Информация об организации, осуществляющей водоотведение (общая информация)</v>
      </c>
      <c r="D4" s="1201" t="s">
        <v>1945</v>
      </c>
      <c r="E4" s="1202" t="str">
        <f aca="false">"Форма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201"/>
      <c r="G4" s="1201"/>
      <c r="H4" s="1198" t="s">
        <v>1946</v>
      </c>
    </row>
    <row r="5" customFormat="false" ht="117" hidden="false" customHeight="true" outlineLevel="0" collapsed="false">
      <c r="A5" s="1198" t="s">
        <v>1947</v>
      </c>
      <c r="B5" s="1198" t="s">
        <v>88</v>
      </c>
      <c r="C5" s="1202" t="str">
        <f aca="false">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198" t="s">
        <v>1948</v>
      </c>
      <c r="E5" s="1205" t="str">
        <f aca="fals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204"/>
      <c r="G5" s="1204"/>
      <c r="H5" s="1198" t="s">
        <v>1949</v>
      </c>
    </row>
    <row r="6" customFormat="false" ht="90" hidden="false" customHeight="true" outlineLevel="0" collapsed="false">
      <c r="A6" s="1198" t="s">
        <v>1950</v>
      </c>
      <c r="B6" s="1198" t="s">
        <v>89</v>
      </c>
      <c r="C6" s="1202" t="str">
        <f aca="false">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205" t="str">
        <f aca="false">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205" t="str">
        <f aca="false">"Форма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198"/>
      <c r="G6" s="1198"/>
      <c r="H6" s="1204"/>
    </row>
    <row r="7" customFormat="false" ht="45" hidden="false" customHeight="true" outlineLevel="0" collapsed="false">
      <c r="A7" s="1198" t="s">
        <v>1951</v>
      </c>
      <c r="B7" s="1198" t="s">
        <v>109</v>
      </c>
      <c r="C7" s="1202" t="str">
        <f aca="false">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98" t="s">
        <v>1952</v>
      </c>
      <c r="E7" s="1198" t="s">
        <v>1953</v>
      </c>
      <c r="F7" s="1204"/>
      <c r="G7" s="1204"/>
      <c r="H7" s="1204"/>
    </row>
    <row r="8" customFormat="false" ht="108" hidden="false" customHeight="true" outlineLevel="0" collapsed="false">
      <c r="A8" s="1198" t="s">
        <v>1954</v>
      </c>
      <c r="B8" s="1198" t="s">
        <v>90</v>
      </c>
      <c r="C8" s="1202" t="str">
        <f aca="false">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98" t="s">
        <v>1153</v>
      </c>
      <c r="E8" s="1198" t="s">
        <v>1955</v>
      </c>
      <c r="F8" s="1204"/>
      <c r="G8" s="1204"/>
      <c r="H8" s="1204"/>
    </row>
    <row r="9" customFormat="false" ht="99" hidden="false" customHeight="true" outlineLevel="0" collapsed="false">
      <c r="A9" s="1198" t="s">
        <v>1956</v>
      </c>
      <c r="B9" s="1198"/>
      <c r="C9" s="1198" t="s">
        <v>1957</v>
      </c>
      <c r="D9" s="1198"/>
      <c r="E9" s="1198"/>
      <c r="F9" s="1204"/>
      <c r="G9" s="1204"/>
      <c r="H9" s="1204"/>
    </row>
    <row r="10" customFormat="false" ht="126" hidden="false" customHeight="true" outlineLevel="0" collapsed="false">
      <c r="A10" s="1198" t="s">
        <v>1958</v>
      </c>
      <c r="B10" s="1198"/>
      <c r="C10" s="1198" t="s">
        <v>1959</v>
      </c>
      <c r="D10" s="1198"/>
      <c r="E10" s="1198"/>
      <c r="F10" s="1204"/>
      <c r="G10" s="1204"/>
      <c r="H10" s="1204"/>
    </row>
    <row r="11" customFormat="false" ht="108" hidden="false" customHeight="true" outlineLevel="0" collapsed="false">
      <c r="A11" s="1198" t="s">
        <v>1960</v>
      </c>
      <c r="B11" s="1198"/>
      <c r="C11" s="1198" t="s">
        <v>1961</v>
      </c>
      <c r="D11" s="1198"/>
      <c r="E11" s="1198"/>
      <c r="F11" s="1204"/>
      <c r="G11" s="1204"/>
      <c r="H11" s="1204"/>
    </row>
    <row r="12" customFormat="false" ht="54" hidden="false" customHeight="true" outlineLevel="0" collapsed="false">
      <c r="A12" s="1198" t="s">
        <v>1962</v>
      </c>
      <c r="B12" s="1198"/>
      <c r="C12" s="1198" t="s">
        <v>1963</v>
      </c>
      <c r="D12" s="1198"/>
      <c r="E12" s="1198"/>
      <c r="F12" s="1204"/>
      <c r="G12" s="1204"/>
      <c r="H12" s="1204"/>
    </row>
    <row r="13" customFormat="false" ht="45" hidden="false" customHeight="true" outlineLevel="0" collapsed="false">
      <c r="A13" s="1198" t="s">
        <v>1964</v>
      </c>
      <c r="B13" s="1198"/>
      <c r="C13" s="1198" t="s">
        <v>1965</v>
      </c>
      <c r="D13" s="1198"/>
      <c r="E13" s="1198"/>
      <c r="F13" s="1204"/>
      <c r="G13" s="1204"/>
      <c r="H13" s="1204"/>
    </row>
    <row r="14" customFormat="false" ht="117" hidden="false" customHeight="true" outlineLevel="0" collapsed="false">
      <c r="A14" s="1198" t="s">
        <v>1966</v>
      </c>
      <c r="B14" s="1198"/>
      <c r="C14" s="1198" t="s">
        <v>1967</v>
      </c>
      <c r="D14" s="1198"/>
      <c r="E14" s="1198"/>
      <c r="F14" s="1204"/>
      <c r="G14" s="1204"/>
      <c r="H14" s="1204"/>
    </row>
    <row r="15" customFormat="false" ht="117" hidden="false" customHeight="true" outlineLevel="0" collapsed="false">
      <c r="A15" s="1198" t="s">
        <v>1968</v>
      </c>
      <c r="B15" s="1198"/>
      <c r="C15" s="1198" t="s">
        <v>1969</v>
      </c>
      <c r="D15" s="1198"/>
      <c r="E15" s="1198"/>
      <c r="F15" s="1204"/>
      <c r="G15" s="1204"/>
      <c r="H15" s="1204"/>
    </row>
    <row r="16" customFormat="false" ht="63" hidden="false" customHeight="true" outlineLevel="0" collapsed="false">
      <c r="A16" s="1198" t="s">
        <v>1970</v>
      </c>
      <c r="B16" s="1198"/>
      <c r="C16" s="1198" t="s">
        <v>1971</v>
      </c>
      <c r="D16" s="1198"/>
      <c r="E16" s="1198"/>
      <c r="F16" s="1204"/>
      <c r="G16" s="1204"/>
      <c r="H16" s="1204"/>
    </row>
    <row r="17" customFormat="false" ht="54" hidden="false" customHeight="true" outlineLevel="0" collapsed="false">
      <c r="A17" s="1198" t="s">
        <v>1972</v>
      </c>
      <c r="B17" s="1198"/>
      <c r="C17" s="1206" t="s">
        <v>1973</v>
      </c>
      <c r="D17" s="1198"/>
      <c r="E17" s="1198"/>
      <c r="F17" s="1204"/>
      <c r="G17" s="1204"/>
      <c r="H17" s="1204"/>
    </row>
    <row r="18" customFormat="false" ht="27" hidden="false" customHeight="true" outlineLevel="0" collapsed="false">
      <c r="A18" s="1198" t="s">
        <v>1974</v>
      </c>
      <c r="B18" s="1198"/>
      <c r="C18" s="1202" t="s">
        <v>1975</v>
      </c>
      <c r="D18" s="1198"/>
      <c r="E18" s="1198"/>
      <c r="F18" s="1204"/>
      <c r="G18" s="1204"/>
      <c r="H18" s="1204"/>
    </row>
    <row r="19" customFormat="false" ht="54" hidden="false" customHeight="true" outlineLevel="0" collapsed="false">
      <c r="A19" s="1198" t="s">
        <v>1976</v>
      </c>
      <c r="B19" s="1198"/>
      <c r="C19" s="1202" t="s">
        <v>1977</v>
      </c>
      <c r="D19" s="1198"/>
      <c r="E19" s="1198"/>
      <c r="F19" s="1204"/>
      <c r="G19" s="1204"/>
      <c r="H19" s="1204"/>
    </row>
    <row r="20" customFormat="false" ht="36" hidden="false" customHeight="true" outlineLevel="0" collapsed="false">
      <c r="A20" s="1198" t="s">
        <v>1978</v>
      </c>
      <c r="B20" s="1198"/>
      <c r="C20" s="1202" t="s">
        <v>1979</v>
      </c>
      <c r="D20" s="1198"/>
      <c r="E20" s="1198"/>
      <c r="F20" s="1204"/>
      <c r="G20" s="1204"/>
      <c r="H20" s="1204"/>
    </row>
    <row r="21" customFormat="false" ht="36" hidden="false" customHeight="true" outlineLevel="0" collapsed="false">
      <c r="A21" s="1198" t="s">
        <v>1980</v>
      </c>
      <c r="B21" s="1198"/>
      <c r="C21" s="1202" t="s">
        <v>1981</v>
      </c>
      <c r="D21" s="1198"/>
      <c r="E21" s="1198"/>
      <c r="F21" s="1204"/>
      <c r="G21" s="1204"/>
      <c r="H21" s="1204"/>
    </row>
    <row r="22" customFormat="false" ht="27" hidden="false" customHeight="true" outlineLevel="0" collapsed="false">
      <c r="A22" s="1198" t="s">
        <v>1982</v>
      </c>
      <c r="B22" s="1198"/>
      <c r="C22" s="1202" t="s">
        <v>1983</v>
      </c>
      <c r="D22" s="1198"/>
      <c r="E22" s="1198"/>
      <c r="F22" s="1204"/>
      <c r="G22" s="1204"/>
      <c r="H22" s="1204"/>
    </row>
    <row r="23" customFormat="false" ht="36" hidden="false" customHeight="true" outlineLevel="0" collapsed="false">
      <c r="A23" s="1198" t="s">
        <v>1984</v>
      </c>
      <c r="B23" s="1198"/>
      <c r="C23" s="1202" t="s">
        <v>1985</v>
      </c>
      <c r="D23" s="1198"/>
      <c r="E23" s="1198"/>
      <c r="F23" s="1204"/>
      <c r="G23" s="1204"/>
      <c r="H23" s="1204"/>
    </row>
    <row r="24" customFormat="false" ht="28.5" hidden="false" customHeight="true" outlineLevel="0" collapsed="false">
      <c r="A24" s="1198" t="s">
        <v>1986</v>
      </c>
      <c r="B24" s="1198"/>
      <c r="C24" s="1202" t="s">
        <v>1987</v>
      </c>
      <c r="D24" s="1198"/>
      <c r="E24" s="1198"/>
      <c r="F24" s="1204"/>
      <c r="G24" s="1204"/>
      <c r="H24" s="1204"/>
    </row>
    <row r="25" customFormat="false" ht="36" hidden="false" customHeight="true" outlineLevel="0" collapsed="false">
      <c r="A25" s="1198" t="s">
        <v>1988</v>
      </c>
      <c r="B25" s="1198"/>
      <c r="C25" s="1202" t="s">
        <v>1989</v>
      </c>
      <c r="D25" s="1198"/>
      <c r="E25" s="1198"/>
      <c r="F25" s="1204"/>
      <c r="G25" s="1204"/>
      <c r="H25" s="1204"/>
    </row>
    <row r="26" customFormat="false" ht="27" hidden="false" customHeight="true" outlineLevel="0" collapsed="false">
      <c r="A26" s="1198" t="s">
        <v>1990</v>
      </c>
      <c r="B26" s="1198"/>
      <c r="C26" s="1202" t="s">
        <v>1991</v>
      </c>
      <c r="D26" s="1198"/>
      <c r="E26" s="1198"/>
      <c r="F26" s="1204"/>
      <c r="G26" s="1204"/>
      <c r="H26" s="1204"/>
    </row>
    <row r="27" customFormat="false" ht="36" hidden="false" customHeight="true" outlineLevel="0" collapsed="false">
      <c r="A27" s="1198" t="s">
        <v>1992</v>
      </c>
      <c r="B27" s="1198"/>
      <c r="C27" s="1202" t="s">
        <v>1993</v>
      </c>
      <c r="D27" s="1198"/>
      <c r="E27" s="1198"/>
      <c r="F27" s="1204"/>
      <c r="G27" s="1204"/>
      <c r="H27" s="1204"/>
    </row>
    <row r="28" customFormat="false" ht="28.5" hidden="false" customHeight="true" outlineLevel="0" collapsed="false">
      <c r="A28" s="1198" t="s">
        <v>1994</v>
      </c>
      <c r="B28" s="1198"/>
      <c r="C28" s="1202" t="s">
        <v>1995</v>
      </c>
      <c r="D28" s="1198"/>
      <c r="E28" s="1198"/>
      <c r="F28" s="1204"/>
      <c r="G28" s="1204"/>
      <c r="H28" s="1204"/>
    </row>
    <row r="29" customFormat="false" ht="126" hidden="false" customHeight="true" outlineLevel="0" collapsed="false">
      <c r="A29" s="1198" t="s">
        <v>1996</v>
      </c>
      <c r="B29" s="1198" t="s">
        <v>1568</v>
      </c>
      <c r="C29" s="1206" t="str">
        <f aca="false">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198" t="s">
        <v>1997</v>
      </c>
      <c r="E29" s="1205" t="str">
        <f aca="false">"Форма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204"/>
      <c r="G29" s="1204"/>
      <c r="H29" s="1198" t="s">
        <v>1998</v>
      </c>
    </row>
    <row r="30" customFormat="false" ht="36" hidden="false" customHeight="true" outlineLevel="0" collapsed="false">
      <c r="A30" s="1198" t="s">
        <v>1999</v>
      </c>
      <c r="B30" s="1198"/>
      <c r="C30" s="1206" t="str">
        <f aca="false">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198" t="s">
        <v>2000</v>
      </c>
      <c r="E30" s="1205" t="str">
        <f aca="fals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204"/>
      <c r="G30" s="1204"/>
      <c r="H30" s="1204"/>
    </row>
    <row r="31" customFormat="false" ht="54" hidden="false" customHeight="true" outlineLevel="0" collapsed="false">
      <c r="A31" s="1198" t="s">
        <v>2001</v>
      </c>
      <c r="B31" s="1198"/>
      <c r="C31" s="1206" t="str">
        <f aca="false">IF(TEMPLATE_SPHERE="HEAT",D31,IF(TEMPLATE_SPHERE="TKO",H31,E31))</f>
        <v>Форма 1. Информация об организации, осуществляющей водоотведение (общая информация)</v>
      </c>
      <c r="D31" s="1198" t="s">
        <v>2002</v>
      </c>
      <c r="E31" s="1205" t="str">
        <f aca="false">"Форма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204"/>
      <c r="G31" s="1204"/>
      <c r="H31" s="1204"/>
    </row>
    <row r="32" customFormat="false" ht="198" hidden="false" customHeight="true" outlineLevel="0" collapsed="false">
      <c r="A32" s="1198" t="s">
        <v>2003</v>
      </c>
      <c r="B32" s="1198"/>
      <c r="C32" s="1206" t="str">
        <f aca="false">IF(TEMPLATE_SPHERE="HEAT",D32,IF(TEMPLATE_SPHERE="TKO",H32,E32))</f>
        <v>Форма 7. Информация об инвестиционных программах организации водоотведения и отчетах об их исполнении</v>
      </c>
      <c r="D32" s="1198" t="s">
        <v>2004</v>
      </c>
      <c r="E32" s="1205" t="str">
        <f aca="false">"Форма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204"/>
      <c r="G32" s="1204"/>
      <c r="H32" s="1198" t="s">
        <v>2005</v>
      </c>
    </row>
    <row r="33" customFormat="false" ht="9" hidden="false" customHeight="true" outlineLevel="0" collapsed="false">
      <c r="A33" s="1198"/>
      <c r="B33" s="1198"/>
      <c r="C33" s="1206"/>
      <c r="D33" s="1198"/>
      <c r="E33" s="1198"/>
      <c r="F33" s="1204"/>
      <c r="G33" s="1204"/>
      <c r="H33" s="1204"/>
    </row>
    <row r="34" customFormat="false" ht="9" hidden="false" customHeight="true" outlineLevel="0" collapsed="false">
      <c r="A34" s="1198"/>
      <c r="B34" s="1198" t="s">
        <v>1504</v>
      </c>
      <c r="C34" s="1206" t="n">
        <f aca="false">INDEX(TEMPLATE_NAME_FORM_LIST,B34,MATCH(TEMPLATE_SPHERE,TEMPLATE_SPHERE_LIST,0))</f>
        <v>0</v>
      </c>
      <c r="D34" s="1198"/>
      <c r="E34" s="1198"/>
      <c r="F34" s="1204"/>
      <c r="G34" s="1204"/>
      <c r="H34" s="1204"/>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AH1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9" zeroHeight="false" outlineLevelRow="0" outlineLevelCol="0"/>
  <cols>
    <col collapsed="false" customWidth="false" hidden="false" outlineLevel="0" max="2" min="1" style="1196" width="9.15"/>
    <col collapsed="false" customWidth="true" hidden="false" outlineLevel="0" max="7" min="3" style="1207" width="8"/>
    <col collapsed="false" customWidth="true" hidden="false" outlineLevel="0" max="12" min="8" style="1207" width="8.57"/>
    <col collapsed="false" customWidth="true" hidden="false" outlineLevel="0" max="14" min="13" style="1207" width="27.71"/>
    <col collapsed="false" customWidth="true" hidden="false" outlineLevel="0" max="19" min="15" style="1207" width="5.14"/>
    <col collapsed="false" customWidth="true" hidden="false" outlineLevel="0" max="24" min="20" style="1207" width="27.71"/>
    <col collapsed="false" customWidth="true" hidden="false" outlineLevel="0" max="25" min="25" style="1208" width="1.85"/>
    <col collapsed="false" customWidth="true" hidden="false" outlineLevel="0" max="26" min="26" style="1196" width="27.71"/>
    <col collapsed="false" customWidth="true" hidden="false" outlineLevel="0" max="27" min="27" style="1209" width="27.71"/>
    <col collapsed="false" customWidth="true" hidden="false" outlineLevel="0" max="29" min="28" style="1196" width="27.71"/>
    <col collapsed="false" customWidth="true" hidden="false" outlineLevel="0" max="30" min="30" style="1196" width="3.85"/>
    <col collapsed="false" customWidth="false" hidden="false" outlineLevel="0" max="34" min="31" style="1196" width="9.15"/>
  </cols>
  <sheetData>
    <row r="1" s="1212" customFormat="true" ht="18" hidden="false" customHeight="true" outlineLevel="0" collapsed="false">
      <c r="A1" s="1210"/>
      <c r="B1" s="1210"/>
      <c r="C1" s="1210" t="s">
        <v>2006</v>
      </c>
      <c r="D1" s="1210"/>
      <c r="E1" s="1210"/>
      <c r="F1" s="1210"/>
      <c r="G1" s="1210"/>
      <c r="H1" s="1210" t="s">
        <v>2007</v>
      </c>
      <c r="I1" s="1210"/>
      <c r="J1" s="1210"/>
      <c r="K1" s="1210"/>
      <c r="L1" s="1210"/>
      <c r="M1" s="1210" t="s">
        <v>2008</v>
      </c>
      <c r="N1" s="1210" t="s">
        <v>2009</v>
      </c>
      <c r="O1" s="1210" t="s">
        <v>2010</v>
      </c>
      <c r="P1" s="1210"/>
      <c r="Q1" s="1210"/>
      <c r="R1" s="1210"/>
      <c r="S1" s="1210"/>
      <c r="T1" s="1210" t="s">
        <v>2008</v>
      </c>
      <c r="U1" s="1210"/>
      <c r="V1" s="1210"/>
      <c r="W1" s="1210"/>
      <c r="X1" s="1210"/>
      <c r="Y1" s="1211"/>
      <c r="Z1" s="1210" t="s">
        <v>2011</v>
      </c>
      <c r="AA1" s="1210"/>
      <c r="AB1" s="1210"/>
      <c r="AC1" s="1210"/>
      <c r="AD1" s="1210"/>
    </row>
    <row r="2" customFormat="false" ht="18" hidden="false" customHeight="true" outlineLevel="0" collapsed="false">
      <c r="A2" s="1198"/>
      <c r="B2" s="1198"/>
      <c r="C2" s="1213" t="s">
        <v>805</v>
      </c>
      <c r="D2" s="1213" t="s">
        <v>851</v>
      </c>
      <c r="E2" s="1213" t="s">
        <v>904</v>
      </c>
      <c r="F2" s="1213" t="s">
        <v>891</v>
      </c>
      <c r="G2" s="1213" t="s">
        <v>1617</v>
      </c>
      <c r="H2" s="1214"/>
      <c r="I2" s="1214"/>
      <c r="J2" s="1214"/>
      <c r="K2" s="1214"/>
      <c r="L2" s="1214"/>
      <c r="M2" s="1214"/>
      <c r="N2" s="1214"/>
      <c r="O2" s="1213" t="s">
        <v>805</v>
      </c>
      <c r="P2" s="1213" t="s">
        <v>851</v>
      </c>
      <c r="Q2" s="1213" t="s">
        <v>891</v>
      </c>
      <c r="R2" s="1213" t="s">
        <v>904</v>
      </c>
      <c r="S2" s="1213" t="s">
        <v>1617</v>
      </c>
      <c r="T2" s="1213" t="s">
        <v>805</v>
      </c>
      <c r="U2" s="1213" t="s">
        <v>851</v>
      </c>
      <c r="V2" s="1213" t="s">
        <v>891</v>
      </c>
      <c r="W2" s="1213" t="s">
        <v>904</v>
      </c>
      <c r="X2" s="1213" t="s">
        <v>1617</v>
      </c>
      <c r="Y2" s="1213"/>
      <c r="Z2" s="1213" t="s">
        <v>805</v>
      </c>
      <c r="AA2" s="1215" t="s">
        <v>851</v>
      </c>
      <c r="AB2" s="1213" t="s">
        <v>891</v>
      </c>
      <c r="AC2" s="1213" t="s">
        <v>904</v>
      </c>
      <c r="AD2" s="1213" t="s">
        <v>1617</v>
      </c>
    </row>
    <row r="3" customFormat="false" ht="162" hidden="false" customHeight="true" outlineLevel="0" collapsed="false">
      <c r="A3" s="1216" t="s">
        <v>26</v>
      </c>
      <c r="B3" s="1216"/>
      <c r="C3" s="1210" t="s">
        <v>2012</v>
      </c>
      <c r="D3" s="1210"/>
      <c r="E3" s="1210"/>
      <c r="F3" s="1210"/>
      <c r="G3" s="1214"/>
      <c r="H3" s="1214"/>
      <c r="I3" s="1214"/>
      <c r="J3" s="1214"/>
      <c r="K3" s="1214"/>
      <c r="L3" s="1214"/>
      <c r="M3" s="1214"/>
      <c r="N3" s="1217" t="str">
        <f aca="false">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214"/>
      <c r="P3" s="1214"/>
      <c r="Q3" s="1214"/>
      <c r="R3" s="1214"/>
      <c r="S3" s="1214"/>
      <c r="T3" s="1214"/>
      <c r="U3" s="1214"/>
      <c r="V3" s="1214"/>
      <c r="W3" s="1214"/>
      <c r="X3" s="1214"/>
      <c r="Y3" s="1218"/>
      <c r="Z3" s="1198" t="s">
        <v>2013</v>
      </c>
      <c r="AA3" s="1214" t="s">
        <v>2014</v>
      </c>
      <c r="AB3" s="1198" t="s">
        <v>2015</v>
      </c>
      <c r="AC3" s="1198" t="s">
        <v>2016</v>
      </c>
      <c r="AD3" s="1198"/>
      <c r="AG3" s="1198"/>
      <c r="AH3" s="1198"/>
    </row>
    <row r="4" customFormat="false" ht="9" hidden="false" customHeight="true" outlineLevel="0" collapsed="false">
      <c r="A4" s="1216"/>
      <c r="B4" s="1216"/>
      <c r="C4" s="1214"/>
      <c r="D4" s="1214"/>
      <c r="E4" s="1214"/>
      <c r="F4" s="1214"/>
      <c r="G4" s="1214"/>
      <c r="H4" s="1214"/>
      <c r="I4" s="1214"/>
      <c r="J4" s="1214"/>
      <c r="K4" s="1214"/>
      <c r="L4" s="1214"/>
      <c r="M4" s="1214"/>
      <c r="N4" s="1214"/>
      <c r="O4" s="1214"/>
      <c r="P4" s="1214"/>
      <c r="Q4" s="1214"/>
      <c r="R4" s="1214"/>
      <c r="S4" s="1214"/>
      <c r="T4" s="1214"/>
      <c r="U4" s="1214"/>
      <c r="V4" s="1214"/>
      <c r="W4" s="1214"/>
      <c r="X4" s="1214"/>
      <c r="Y4" s="1218"/>
      <c r="Z4" s="1198"/>
      <c r="AA4" s="1205"/>
      <c r="AB4" s="1198"/>
      <c r="AC4" s="1198"/>
      <c r="AD4" s="1198"/>
    </row>
    <row r="5" customFormat="false" ht="9" hidden="false" customHeight="true" outlineLevel="0" collapsed="false">
      <c r="A5" s="1216"/>
      <c r="B5" s="1216"/>
      <c r="C5" s="1214"/>
      <c r="D5" s="1214"/>
      <c r="E5" s="1214"/>
      <c r="F5" s="1214"/>
      <c r="G5" s="1214"/>
      <c r="H5" s="1214"/>
      <c r="I5" s="1214"/>
      <c r="J5" s="1214"/>
      <c r="K5" s="1214"/>
      <c r="L5" s="1214"/>
      <c r="M5" s="1214"/>
      <c r="N5" s="1214"/>
      <c r="O5" s="1214"/>
      <c r="P5" s="1214"/>
      <c r="Q5" s="1214"/>
      <c r="R5" s="1214"/>
      <c r="S5" s="1214"/>
      <c r="T5" s="1214"/>
      <c r="U5" s="1214"/>
      <c r="V5" s="1214"/>
      <c r="W5" s="1214"/>
      <c r="X5" s="1214"/>
      <c r="Y5" s="1218"/>
      <c r="Z5" s="1198"/>
      <c r="AA5" s="1205"/>
      <c r="AB5" s="1198"/>
      <c r="AC5" s="1198"/>
      <c r="AD5" s="1198"/>
    </row>
    <row r="6" customFormat="false" ht="9" hidden="false" customHeight="true" outlineLevel="0" collapsed="false">
      <c r="A6" s="1216"/>
      <c r="B6" s="1216"/>
      <c r="C6" s="1214"/>
      <c r="D6" s="1214"/>
      <c r="E6" s="1214"/>
      <c r="F6" s="1214"/>
      <c r="G6" s="1214"/>
      <c r="H6" s="1214"/>
      <c r="I6" s="1214"/>
      <c r="J6" s="1214"/>
      <c r="K6" s="1214"/>
      <c r="L6" s="1214"/>
      <c r="M6" s="1214"/>
      <c r="N6" s="1214"/>
      <c r="O6" s="1214"/>
      <c r="P6" s="1214"/>
      <c r="Q6" s="1214"/>
      <c r="R6" s="1214"/>
      <c r="S6" s="1214"/>
      <c r="T6" s="1214"/>
      <c r="U6" s="1214"/>
      <c r="V6" s="1214"/>
      <c r="W6" s="1214"/>
      <c r="X6" s="1214"/>
      <c r="Y6" s="1218"/>
      <c r="Z6" s="1198"/>
      <c r="AA6" s="1205"/>
      <c r="AB6" s="1198"/>
      <c r="AC6" s="1198"/>
      <c r="AD6" s="1198"/>
    </row>
    <row r="7" customFormat="false" ht="9" hidden="false" customHeight="true" outlineLevel="0" collapsed="false">
      <c r="A7" s="1216"/>
      <c r="B7" s="1216"/>
      <c r="C7" s="1214"/>
      <c r="D7" s="1214"/>
      <c r="E7" s="1214"/>
      <c r="F7" s="1214"/>
      <c r="G7" s="1214"/>
      <c r="H7" s="1214"/>
      <c r="I7" s="1214"/>
      <c r="J7" s="1214"/>
      <c r="K7" s="1214"/>
      <c r="L7" s="1214"/>
      <c r="M7" s="1214"/>
      <c r="N7" s="1214"/>
      <c r="O7" s="1214"/>
      <c r="P7" s="1214"/>
      <c r="Q7" s="1214"/>
      <c r="R7" s="1214"/>
      <c r="S7" s="1214"/>
      <c r="T7" s="1214"/>
      <c r="U7" s="1214"/>
      <c r="V7" s="1214"/>
      <c r="W7" s="1214"/>
      <c r="X7" s="1214"/>
      <c r="Y7" s="1218"/>
      <c r="Z7" s="1198"/>
      <c r="AA7" s="1205"/>
      <c r="AB7" s="1198"/>
      <c r="AC7" s="1198"/>
      <c r="AD7" s="1198"/>
    </row>
    <row r="8" customFormat="false" ht="9" hidden="false" customHeight="true" outlineLevel="0" collapsed="false">
      <c r="A8" s="1216"/>
      <c r="B8" s="1216"/>
      <c r="C8" s="1214"/>
      <c r="D8" s="1214"/>
      <c r="E8" s="1214"/>
      <c r="F8" s="1214"/>
      <c r="G8" s="1214"/>
      <c r="H8" s="1214"/>
      <c r="I8" s="1214"/>
      <c r="J8" s="1214"/>
      <c r="K8" s="1214"/>
      <c r="L8" s="1214"/>
      <c r="M8" s="1214"/>
      <c r="N8" s="1214"/>
      <c r="O8" s="1214"/>
      <c r="P8" s="1214"/>
      <c r="Q8" s="1214"/>
      <c r="R8" s="1214"/>
      <c r="S8" s="1214"/>
      <c r="T8" s="1214"/>
      <c r="U8" s="1214"/>
      <c r="V8" s="1214"/>
      <c r="W8" s="1214"/>
      <c r="X8" s="1214"/>
      <c r="Y8" s="1218"/>
      <c r="Z8" s="1198"/>
      <c r="AA8" s="1205"/>
      <c r="AB8" s="1198"/>
      <c r="AC8" s="1198"/>
      <c r="AD8" s="1198"/>
    </row>
    <row r="9" customFormat="false" ht="9" hidden="false" customHeight="true" outlineLevel="0" collapsed="false">
      <c r="A9" s="1216"/>
      <c r="B9" s="1216"/>
      <c r="C9" s="1214"/>
      <c r="D9" s="1214"/>
      <c r="E9" s="1214"/>
      <c r="F9" s="1214"/>
      <c r="G9" s="1214"/>
      <c r="H9" s="1214"/>
      <c r="I9" s="1214"/>
      <c r="J9" s="1214"/>
      <c r="K9" s="1214"/>
      <c r="L9" s="1214"/>
      <c r="M9" s="1214"/>
      <c r="N9" s="1214"/>
      <c r="O9" s="1214"/>
      <c r="P9" s="1214"/>
      <c r="Q9" s="1214"/>
      <c r="R9" s="1214"/>
      <c r="S9" s="1214"/>
      <c r="T9" s="1214"/>
      <c r="U9" s="1214"/>
      <c r="V9" s="1214"/>
      <c r="W9" s="1214"/>
      <c r="X9" s="1214"/>
      <c r="Y9" s="1218"/>
      <c r="Z9" s="1198"/>
      <c r="AA9" s="1205"/>
      <c r="AB9" s="1198"/>
      <c r="AC9" s="1198"/>
      <c r="AD9" s="1198"/>
    </row>
    <row r="10" customFormat="false" ht="9" hidden="false" customHeight="true" outlineLevel="0" collapsed="false">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row>
    <row r="11" customFormat="false" ht="45" hidden="false" customHeight="true" outlineLevel="0" collapsed="false">
      <c r="A11" s="1219" t="s">
        <v>32</v>
      </c>
      <c r="B11" s="1219" t="n">
        <v>1</v>
      </c>
      <c r="C11" s="1210" t="s">
        <v>1555</v>
      </c>
      <c r="D11" s="1210" t="s">
        <v>1551</v>
      </c>
      <c r="E11" s="1210" t="s">
        <v>1648</v>
      </c>
      <c r="F11" s="1210" t="s">
        <v>2017</v>
      </c>
      <c r="G11" s="1210"/>
      <c r="H11" s="1210" t="s">
        <v>2018</v>
      </c>
      <c r="I11" s="1210"/>
      <c r="J11" s="1210"/>
      <c r="K11" s="1210"/>
      <c r="L11" s="1210"/>
      <c r="M11" s="1217" t="str">
        <f aca="false">IF(TEMPLATE_SPHERE="HEAT",T11,U11)</f>
        <v>Количество поданных заявлений </v>
      </c>
      <c r="N11" s="1217" t="str">
        <f aca="false">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214"/>
      <c r="P11" s="1214"/>
      <c r="Q11" s="1214"/>
      <c r="R11" s="1214"/>
      <c r="S11" s="1214"/>
      <c r="T11" s="1214" t="s">
        <v>2019</v>
      </c>
      <c r="U11" s="1214" t="s">
        <v>2020</v>
      </c>
      <c r="V11" s="1214"/>
      <c r="W11" s="1214"/>
      <c r="X11" s="1214"/>
      <c r="Y11" s="1218"/>
      <c r="Z11" s="1198" t="s">
        <v>2021</v>
      </c>
      <c r="AA11" s="1205" t="str">
        <f aca="false">"Указывается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198"/>
      <c r="AC11" s="1198"/>
      <c r="AD11" s="1198"/>
    </row>
    <row r="12" customFormat="false" ht="45" hidden="false" customHeight="true" outlineLevel="0" collapsed="false">
      <c r="A12" s="1219"/>
      <c r="B12" s="1219" t="n">
        <v>2</v>
      </c>
      <c r="C12" s="1210"/>
      <c r="D12" s="1210"/>
      <c r="E12" s="1210"/>
      <c r="F12" s="1210"/>
      <c r="G12" s="1210"/>
      <c r="H12" s="1210" t="s">
        <v>2022</v>
      </c>
      <c r="I12" s="1210"/>
      <c r="J12" s="1210"/>
      <c r="K12" s="1210"/>
      <c r="L12" s="1210"/>
      <c r="M12" s="1217" t="str">
        <f aca="false">IF(TEMPLATE_SPHERE="HEAT",T12,U12)</f>
        <v>Количество исполненных заявлений </v>
      </c>
      <c r="N12" s="1217" t="str">
        <f aca="false">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214"/>
      <c r="P12" s="1214"/>
      <c r="Q12" s="1214"/>
      <c r="R12" s="1214"/>
      <c r="S12" s="1214"/>
      <c r="T12" s="1214" t="s">
        <v>2023</v>
      </c>
      <c r="U12" s="1214" t="s">
        <v>2024</v>
      </c>
      <c r="V12" s="1214"/>
      <c r="W12" s="1214"/>
      <c r="X12" s="1214"/>
      <c r="Y12" s="1218"/>
      <c r="Z12" s="1198" t="s">
        <v>2025</v>
      </c>
      <c r="AA12" s="1205" t="str">
        <f aca="false">"Указывается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198"/>
      <c r="AC12" s="1198"/>
      <c r="AD12" s="1198"/>
    </row>
    <row r="13" customFormat="false" ht="72" hidden="false" customHeight="true" outlineLevel="0" collapsed="false">
      <c r="A13" s="1219"/>
      <c r="B13" s="1219" t="n">
        <v>3</v>
      </c>
      <c r="C13" s="1210"/>
      <c r="D13" s="1210"/>
      <c r="E13" s="1210"/>
      <c r="F13" s="1210"/>
      <c r="G13" s="1210"/>
      <c r="H13" s="1210" t="s">
        <v>2026</v>
      </c>
      <c r="I13" s="1210"/>
      <c r="J13" s="1210"/>
      <c r="K13" s="1210"/>
      <c r="L13" s="1210"/>
      <c r="M13" s="1217" t="str">
        <f aca="false">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217" t="str">
        <f aca="false">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214"/>
      <c r="P13" s="1217"/>
      <c r="Q13" s="1217"/>
      <c r="R13" s="1217"/>
      <c r="S13" s="1214"/>
      <c r="T13" s="1214" t="s">
        <v>2027</v>
      </c>
      <c r="U13" s="1217" t="s">
        <v>2028</v>
      </c>
      <c r="V13" s="1217"/>
      <c r="W13" s="1217"/>
      <c r="X13" s="1214"/>
      <c r="Y13" s="1218"/>
      <c r="Z13" s="1198" t="s">
        <v>2029</v>
      </c>
      <c r="AA13" s="1205" t="str">
        <f aca="false">"Указывается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198"/>
      <c r="AC13" s="1198"/>
      <c r="AD13" s="1198"/>
    </row>
    <row r="14" customFormat="false" ht="45" hidden="false" customHeight="true" outlineLevel="0" collapsed="false">
      <c r="A14" s="1219"/>
      <c r="B14" s="1219" t="n">
        <v>4</v>
      </c>
      <c r="C14" s="1210"/>
      <c r="D14" s="1210"/>
      <c r="E14" s="1210"/>
      <c r="F14" s="1210"/>
      <c r="G14" s="1210"/>
      <c r="H14" s="1210"/>
      <c r="I14" s="1220"/>
      <c r="J14" s="1220"/>
      <c r="K14" s="1220"/>
      <c r="L14" s="1220"/>
      <c r="M14" s="1221" t="str">
        <f aca="false">IF(TEMPLATE_SPHERE="HEAT",T14,U14)</f>
        <v>Причины отказа в заключении договора о подключении (технологическом присоединении) к централизованной системе водоотведения</v>
      </c>
      <c r="N14" s="1217" t="str">
        <f aca="false">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14"/>
      <c r="P14" s="1217"/>
      <c r="Q14" s="1217"/>
      <c r="R14" s="1217"/>
      <c r="S14" s="1214"/>
      <c r="T14" s="1214" t="s">
        <v>2030</v>
      </c>
      <c r="U14" s="1217" t="str">
        <f aca="false">"Причины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217"/>
      <c r="W14" s="1217"/>
      <c r="X14" s="1214"/>
      <c r="Y14" s="1218"/>
      <c r="Z14" s="1198" t="s">
        <v>2031</v>
      </c>
      <c r="AA14" s="1205" t="s">
        <v>2031</v>
      </c>
      <c r="AB14" s="1198"/>
      <c r="AC14" s="1198"/>
      <c r="AD14" s="1198"/>
    </row>
    <row r="15" customFormat="false" ht="108" hidden="false" customHeight="true" outlineLevel="0" collapsed="false">
      <c r="A15" s="1219"/>
      <c r="B15" s="1219" t="n">
        <v>5</v>
      </c>
      <c r="C15" s="1210"/>
      <c r="D15" s="1210"/>
      <c r="E15" s="1210"/>
      <c r="F15" s="1210"/>
      <c r="G15" s="1210"/>
      <c r="H15" s="1222" t="s">
        <v>2032</v>
      </c>
      <c r="I15" s="1223"/>
      <c r="J15" s="1223"/>
      <c r="K15" s="1223"/>
      <c r="L15" s="1223"/>
      <c r="M15" s="1205" t="str">
        <f aca="false">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224" t="str">
        <f aca="false">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214"/>
      <c r="P15" s="1217"/>
      <c r="Q15" s="1217"/>
      <c r="R15" s="1217"/>
      <c r="S15" s="1214"/>
      <c r="T15" s="1214" t="s">
        <v>2033</v>
      </c>
      <c r="U15" s="1217" t="str">
        <f aca="false">"Наличие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217"/>
      <c r="W15" s="1217"/>
      <c r="X15" s="1214"/>
      <c r="Y15" s="1218"/>
      <c r="Z15" s="1198" t="s">
        <v>2034</v>
      </c>
      <c r="AA15" s="1205" t="str">
        <f aca="false">"Указывается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198"/>
      <c r="AC15" s="1198"/>
      <c r="AD15" s="1198"/>
    </row>
    <row r="16" customFormat="false" ht="108" hidden="false" customHeight="true" outlineLevel="0" collapsed="false">
      <c r="A16" s="1219"/>
      <c r="B16" s="1219" t="n">
        <v>6</v>
      </c>
      <c r="C16" s="1210"/>
      <c r="D16" s="1210"/>
      <c r="E16" s="1210"/>
      <c r="F16" s="1210"/>
      <c r="G16" s="1210"/>
      <c r="H16" s="1222"/>
      <c r="I16" s="1225"/>
      <c r="J16" s="1225"/>
      <c r="K16" s="1225"/>
      <c r="L16" s="1225"/>
      <c r="M16" s="1226"/>
      <c r="N16" s="1224" t="str">
        <f aca="false">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214"/>
      <c r="P16" s="1217"/>
      <c r="Q16" s="1217"/>
      <c r="R16" s="1217"/>
      <c r="S16" s="1214"/>
      <c r="T16" s="1214"/>
      <c r="U16" s="1217"/>
      <c r="V16" s="1217"/>
      <c r="W16" s="1217"/>
      <c r="X16" s="1214"/>
      <c r="Y16" s="1218"/>
      <c r="Z16" s="1198" t="s">
        <v>2034</v>
      </c>
      <c r="AA16" s="1205" t="str">
        <f aca="false">"Указывается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198"/>
      <c r="AC16" s="1198"/>
      <c r="AD16" s="1198"/>
    </row>
    <row r="17" customFormat="false" ht="9" hidden="false" customHeight="true" outlineLevel="0" collapsed="false">
      <c r="A17" s="1219"/>
      <c r="B17" s="1219"/>
      <c r="C17" s="1219" t="n">
        <v>22</v>
      </c>
      <c r="D17" s="1219" t="n">
        <v>21</v>
      </c>
      <c r="E17" s="1219" t="n">
        <v>42</v>
      </c>
      <c r="F17" s="1219" t="n">
        <v>63</v>
      </c>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row>
    <row r="18" customFormat="false" ht="27" hidden="false" customHeight="true" outlineLevel="0" collapsed="false">
      <c r="A18" s="1216" t="s">
        <v>1651</v>
      </c>
      <c r="B18" s="1219" t="n">
        <v>1</v>
      </c>
      <c r="C18" s="1214" t="s">
        <v>2018</v>
      </c>
      <c r="D18" s="1227" t="s">
        <v>2018</v>
      </c>
      <c r="E18" s="1214" t="s">
        <v>2018</v>
      </c>
      <c r="F18" s="1214" t="s">
        <v>2018</v>
      </c>
      <c r="G18" s="1214"/>
      <c r="H18" s="1228"/>
      <c r="I18" s="1229" t="n">
        <f aca="false">INDEX(TEMPLATE_NUMBER_POINT_FHD,B18,MATCH(TEMPLATE_SPHERE,TEMPLATE_SPHERE_LIST_FOR_NOTE,0))</f>
        <v>1</v>
      </c>
      <c r="J18" s="1229" t="str">
        <f aca="false">INDEX(TEMPLATE_DATA_POINT_FHD,B18,MATCH(TEMPLATE_SPHERE,TEMPLATE_SPHERE_LIST_FOR_NOTE,0))</f>
        <v>Выручка от регулируемых видов деятельности в сфере водоотведения</v>
      </c>
      <c r="K18" s="1229" t="str">
        <f aca="false">INDEX(TEMPLATE_NOTE_POINT_FHD,B18,MATCH(TEMPLATE_SPHERE,TEMPLATE_SPHERE_LIST_FOR_NOTE,0))</f>
        <v>Указывается выручка с распределением по видам деятельности.</v>
      </c>
      <c r="L18" s="1217" t="n">
        <f aca="false">IF(I18=0,"",I18)</f>
        <v>1</v>
      </c>
      <c r="M18" s="1217" t="str">
        <f aca="false">IF(J18=0,"",J18)</f>
        <v>Выручка от регулируемых видов деятельности в сфере водоотведения</v>
      </c>
      <c r="N18" s="1217" t="str">
        <f aca="false">IF(K18=0,"",K18)</f>
        <v>Указывается выручка с распределением по видам деятельности.</v>
      </c>
      <c r="O18" s="1230" t="n">
        <v>1</v>
      </c>
      <c r="P18" s="1230" t="n">
        <v>1</v>
      </c>
      <c r="Q18" s="1230" t="n">
        <v>1</v>
      </c>
      <c r="R18" s="1230" t="n">
        <v>1</v>
      </c>
      <c r="S18" s="1230"/>
      <c r="T18" s="1231" t="s">
        <v>2035</v>
      </c>
      <c r="U18" s="1198" t="s">
        <v>2036</v>
      </c>
      <c r="V18" s="1198" t="s">
        <v>2037</v>
      </c>
      <c r="W18" s="1198" t="s">
        <v>2038</v>
      </c>
      <c r="X18" s="1214"/>
      <c r="Y18" s="1218"/>
      <c r="Z18" s="1198" t="s">
        <v>2039</v>
      </c>
      <c r="AA18" s="1205" t="s">
        <v>2040</v>
      </c>
      <c r="AB18" s="1205" t="s">
        <v>2040</v>
      </c>
      <c r="AC18" s="1205" t="s">
        <v>2040</v>
      </c>
      <c r="AD18" s="1198"/>
    </row>
    <row r="19" customFormat="false" ht="36" hidden="false" customHeight="true" outlineLevel="0" collapsed="false">
      <c r="A19" s="1216"/>
      <c r="B19" s="1219" t="n">
        <v>2</v>
      </c>
      <c r="C19" s="1214" t="s">
        <v>2022</v>
      </c>
      <c r="D19" s="1227" t="s">
        <v>2022</v>
      </c>
      <c r="E19" s="1214" t="s">
        <v>2022</v>
      </c>
      <c r="F19" s="1214" t="s">
        <v>2022</v>
      </c>
      <c r="G19" s="1214"/>
      <c r="H19" s="1228"/>
      <c r="I19" s="1229" t="n">
        <f aca="false">INDEX(TEMPLATE_NUMBER_POINT_FHD,B19,MATCH(TEMPLATE_SPHERE,TEMPLATE_SPHERE_LIST_FOR_NOTE,0))</f>
        <v>2</v>
      </c>
      <c r="J19" s="1229" t="str">
        <f aca="false">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229" t="str">
        <f aca="false">INDEX(TEMPLATE_NOTE_POINT_FHD,B19,MATCH(TEMPLATE_SPHERE,TEMPLATE_SPHERE_LIST_FOR_NOTE,0))</f>
        <v>Указывается суммарная себестоимость производимых товаров.</v>
      </c>
      <c r="L19" s="1217" t="n">
        <f aca="false">IF(I19=0,"",I19)</f>
        <v>2</v>
      </c>
      <c r="M19" s="1217" t="str">
        <f aca="false">IF(J19=0,"",J19)</f>
        <v>Себестоимость производимых товаров (оказываемых услуг) по регулируемым видам деятельности в сфере водоотведения, включая:</v>
      </c>
      <c r="N19" s="1217" t="str">
        <f aca="false">IF(K19=0,"",K19)</f>
        <v>Указывается суммарная себестоимость производимых товаров.</v>
      </c>
      <c r="O19" s="1230" t="n">
        <v>2</v>
      </c>
      <c r="P19" s="1230" t="n">
        <v>2</v>
      </c>
      <c r="Q19" s="1230" t="n">
        <v>2</v>
      </c>
      <c r="R19" s="1230" t="n">
        <v>2</v>
      </c>
      <c r="S19" s="1230"/>
      <c r="T19" s="1231" t="s">
        <v>2041</v>
      </c>
      <c r="U19" s="1198" t="s">
        <v>2042</v>
      </c>
      <c r="V19" s="1198" t="s">
        <v>2043</v>
      </c>
      <c r="W19" s="1198" t="s">
        <v>2044</v>
      </c>
      <c r="X19" s="1214"/>
      <c r="Y19" s="1218"/>
      <c r="Z19" s="1198" t="s">
        <v>2045</v>
      </c>
      <c r="AA19" s="1205" t="s">
        <v>2045</v>
      </c>
      <c r="AB19" s="1205" t="s">
        <v>2045</v>
      </c>
      <c r="AC19" s="1205" t="s">
        <v>2045</v>
      </c>
      <c r="AD19" s="1198"/>
    </row>
    <row r="20" customFormat="false" ht="27" hidden="false" customHeight="true" outlineLevel="0" collapsed="false">
      <c r="A20" s="1216"/>
      <c r="B20" s="1219" t="n">
        <v>3</v>
      </c>
      <c r="C20" s="1214" t="n">
        <v>1</v>
      </c>
      <c r="D20" s="1227"/>
      <c r="E20" s="1214"/>
      <c r="F20" s="1214"/>
      <c r="G20" s="1214"/>
      <c r="H20" s="1228"/>
      <c r="I20" s="1229" t="str">
        <f aca="false">INDEX(TEMPLATE_NUMBER_POINT_FHD,B20,MATCH(TEMPLATE_SPHERE,TEMPLATE_SPHERE_LIST_FOR_NOTE,0))</f>
        <v>2.1</v>
      </c>
      <c r="J20" s="1229" t="str">
        <f aca="false">INDEX(TEMPLATE_DATA_POINT_FHD,B20,MATCH(TEMPLATE_SPHERE,TEMPLATE_SPHERE_LIST_FOR_NOTE,0))</f>
        <v>Расходы на оплату услуг по приему, транспортировке и очистке сточных вод другими организациями</v>
      </c>
      <c r="K20" s="1229" t="n">
        <f aca="false">INDEX(TEMPLATE_NOTE_POINT_FHD,B20,MATCH(TEMPLATE_SPHERE,TEMPLATE_SPHERE_LIST_FOR_NOTE,0))</f>
        <v>0</v>
      </c>
      <c r="L20" s="1217" t="str">
        <f aca="false">IF(I20=0,"",I20)</f>
        <v>2.1</v>
      </c>
      <c r="M20" s="1217" t="str">
        <f aca="false">IF(J20=0,"",J20)</f>
        <v>Расходы на оплату услуг по приему, транспортировке и очистке сточных вод другими организациями</v>
      </c>
      <c r="N20" s="1217" t="str">
        <f aca="false">IF(K20=0,"",K20)</f>
        <v/>
      </c>
      <c r="O20" s="1230" t="s">
        <v>706</v>
      </c>
      <c r="P20" s="1230" t="s">
        <v>706</v>
      </c>
      <c r="Q20" s="1230" t="s">
        <v>706</v>
      </c>
      <c r="R20" s="1230" t="s">
        <v>706</v>
      </c>
      <c r="S20" s="1230"/>
      <c r="T20" s="1231" t="s">
        <v>2046</v>
      </c>
      <c r="U20" s="1198" t="s">
        <v>2047</v>
      </c>
      <c r="V20" s="1198" t="s">
        <v>2048</v>
      </c>
      <c r="W20" s="1198" t="s">
        <v>2049</v>
      </c>
      <c r="X20" s="1214"/>
      <c r="Y20" s="1218"/>
      <c r="Z20" s="1198"/>
      <c r="AA20" s="1205"/>
      <c r="AB20" s="1198"/>
      <c r="AC20" s="1198"/>
      <c r="AD20" s="1198"/>
    </row>
    <row r="21" customFormat="false" ht="36" hidden="false" customHeight="true" outlineLevel="0" collapsed="false">
      <c r="A21" s="1216"/>
      <c r="B21" s="1219" t="n">
        <v>4</v>
      </c>
      <c r="C21" s="1214" t="n">
        <v>2</v>
      </c>
      <c r="D21" s="1227"/>
      <c r="E21" s="1214"/>
      <c r="F21" s="1214"/>
      <c r="G21" s="1214"/>
      <c r="H21" s="1228"/>
      <c r="I21" s="1229" t="n">
        <f aca="false">INDEX(TEMPLATE_NUMBER_POINT_FHD,B21,MATCH(TEMPLATE_SPHERE,TEMPLATE_SPHERE_LIST_FOR_NOTE,0))</f>
        <v>0</v>
      </c>
      <c r="J21" s="1229" t="n">
        <f aca="false">INDEX(TEMPLATE_DATA_POINT_FHD,B21,MATCH(TEMPLATE_SPHERE,TEMPLATE_SPHERE_LIST_FOR_NOTE,0))</f>
        <v>0</v>
      </c>
      <c r="K21" s="1229" t="n">
        <f aca="false">INDEX(TEMPLATE_NOTE_POINT_FHD,B21,MATCH(TEMPLATE_SPHERE,TEMPLATE_SPHERE_LIST_FOR_NOTE,0))</f>
        <v>0</v>
      </c>
      <c r="L21" s="1217" t="str">
        <f aca="false">IF(I21=0,"",I21)</f>
        <v/>
      </c>
      <c r="M21" s="1217" t="str">
        <f aca="false">IF(J21=0,"",J21)</f>
        <v/>
      </c>
      <c r="N21" s="1217" t="str">
        <f aca="false">IF(K21=0,"",K21)</f>
        <v/>
      </c>
      <c r="O21" s="1230" t="s">
        <v>304</v>
      </c>
      <c r="P21" s="1230"/>
      <c r="Q21" s="1230"/>
      <c r="R21" s="1230"/>
      <c r="S21" s="1230"/>
      <c r="T21" s="1231" t="s">
        <v>2050</v>
      </c>
      <c r="U21" s="1198"/>
      <c r="V21" s="1198"/>
      <c r="W21" s="1198"/>
      <c r="X21" s="1214"/>
      <c r="Y21" s="1218"/>
      <c r="Z21" s="1198" t="s">
        <v>2051</v>
      </c>
      <c r="AA21" s="1205"/>
      <c r="AB21" s="1198"/>
      <c r="AC21" s="1198"/>
      <c r="AD21" s="1198"/>
    </row>
    <row r="22" customFormat="false" ht="36" hidden="false" customHeight="true" outlineLevel="0" collapsed="false">
      <c r="A22" s="1216"/>
      <c r="B22" s="1219" t="n">
        <v>5</v>
      </c>
      <c r="C22" s="1214" t="n">
        <v>3</v>
      </c>
      <c r="D22" s="1227"/>
      <c r="E22" s="1214"/>
      <c r="F22" s="1214"/>
      <c r="G22" s="1232"/>
      <c r="H22" s="1233"/>
      <c r="I22" s="1229" t="n">
        <f aca="false">INDEX(TEMPLATE_NUMBER_POINT_FHD,B22,MATCH(TEMPLATE_SPHERE,TEMPLATE_SPHERE_LIST_FOR_NOTE,0))</f>
        <v>0</v>
      </c>
      <c r="J22" s="1229" t="n">
        <f aca="false">INDEX(TEMPLATE_DATA_POINT_FHD,B22,MATCH(TEMPLATE_SPHERE,TEMPLATE_SPHERE_LIST_FOR_NOTE,0))</f>
        <v>0</v>
      </c>
      <c r="K22" s="1229" t="n">
        <f aca="false">INDEX(TEMPLATE_NOTE_POINT_FHD,B22,MATCH(TEMPLATE_SPHERE,TEMPLATE_SPHERE_LIST_FOR_NOTE,0))</f>
        <v>0</v>
      </c>
      <c r="L22" s="1217" t="str">
        <f aca="false">IF(I22=0,"",I22)</f>
        <v/>
      </c>
      <c r="M22" s="1217" t="str">
        <f aca="false">IF(J22=0,"",J22)</f>
        <v/>
      </c>
      <c r="N22" s="1217" t="str">
        <f aca="false">IF(K22=0,"",K22)</f>
        <v/>
      </c>
      <c r="O22" s="1230"/>
      <c r="P22" s="1230"/>
      <c r="Q22" s="1230" t="s">
        <v>304</v>
      </c>
      <c r="R22" s="1230"/>
      <c r="S22" s="1230"/>
      <c r="T22" s="1231"/>
      <c r="U22" s="1198"/>
      <c r="V22" s="1198" t="s">
        <v>2052</v>
      </c>
      <c r="W22" s="1198"/>
      <c r="X22" s="1214"/>
      <c r="Y22" s="1218"/>
      <c r="Z22" s="1198"/>
      <c r="AA22" s="1205"/>
      <c r="AB22" s="1198"/>
      <c r="AC22" s="1198"/>
      <c r="AD22" s="1198"/>
    </row>
    <row r="23" customFormat="false" ht="27" hidden="false" customHeight="true" outlineLevel="0" collapsed="false">
      <c r="A23" s="1216"/>
      <c r="B23" s="1219" t="n">
        <v>6</v>
      </c>
      <c r="C23" s="1214" t="n">
        <v>4</v>
      </c>
      <c r="D23" s="1227"/>
      <c r="E23" s="1214"/>
      <c r="F23" s="1214"/>
      <c r="G23" s="1232"/>
      <c r="H23" s="1233"/>
      <c r="I23" s="1229" t="n">
        <f aca="false">INDEX(TEMPLATE_NUMBER_POINT_FHD,B23,MATCH(TEMPLATE_SPHERE,TEMPLATE_SPHERE_LIST_FOR_NOTE,0))</f>
        <v>0</v>
      </c>
      <c r="J23" s="1229" t="n">
        <f aca="false">INDEX(TEMPLATE_DATA_POINT_FHD,B23,MATCH(TEMPLATE_SPHERE,TEMPLATE_SPHERE_LIST_FOR_NOTE,0))</f>
        <v>0</v>
      </c>
      <c r="K23" s="1229" t="n">
        <f aca="false">INDEX(TEMPLATE_NOTE_POINT_FHD,B23,MATCH(TEMPLATE_SPHERE,TEMPLATE_SPHERE_LIST_FOR_NOTE,0))</f>
        <v>0</v>
      </c>
      <c r="L23" s="1217" t="str">
        <f aca="false">IF(I23=0,"",I23)</f>
        <v/>
      </c>
      <c r="M23" s="1217" t="str">
        <f aca="false">IF(J23=0,"",J23)</f>
        <v/>
      </c>
      <c r="N23" s="1217" t="str">
        <f aca="false">IF(K23=0,"",K23)</f>
        <v/>
      </c>
      <c r="O23" s="1230"/>
      <c r="P23" s="1230"/>
      <c r="Q23" s="1230" t="s">
        <v>307</v>
      </c>
      <c r="R23" s="1230"/>
      <c r="S23" s="1230"/>
      <c r="T23" s="1231"/>
      <c r="U23" s="1198"/>
      <c r="V23" s="1198" t="s">
        <v>2053</v>
      </c>
      <c r="W23" s="1198"/>
      <c r="X23" s="1214"/>
      <c r="Y23" s="1218"/>
      <c r="Z23" s="1198"/>
      <c r="AA23" s="1205"/>
      <c r="AB23" s="1198"/>
      <c r="AC23" s="1198"/>
      <c r="AD23" s="1198"/>
    </row>
    <row r="24" customFormat="false" ht="36" hidden="false" customHeight="true" outlineLevel="0" collapsed="false">
      <c r="A24" s="1216"/>
      <c r="B24" s="1219" t="n">
        <v>7</v>
      </c>
      <c r="C24" s="1214" t="n">
        <v>5</v>
      </c>
      <c r="D24" s="1227"/>
      <c r="E24" s="1214"/>
      <c r="F24" s="1214"/>
      <c r="G24" s="1232"/>
      <c r="H24" s="1233"/>
      <c r="I24" s="1229" t="n">
        <f aca="false">INDEX(TEMPLATE_NUMBER_POINT_FHD,B24,MATCH(TEMPLATE_SPHERE,TEMPLATE_SPHERE_LIST_FOR_NOTE,0))</f>
        <v>0</v>
      </c>
      <c r="J24" s="1229" t="n">
        <f aca="false">INDEX(TEMPLATE_DATA_POINT_FHD,B24,MATCH(TEMPLATE_SPHERE,TEMPLATE_SPHERE_LIST_FOR_NOTE,0))</f>
        <v>0</v>
      </c>
      <c r="K24" s="1229" t="n">
        <f aca="false">INDEX(TEMPLATE_NOTE_POINT_FHD,B24,MATCH(TEMPLATE_SPHERE,TEMPLATE_SPHERE_LIST_FOR_NOTE,0))</f>
        <v>0</v>
      </c>
      <c r="L24" s="1217" t="str">
        <f aca="false">IF(I24=0,"",I24)</f>
        <v/>
      </c>
      <c r="M24" s="1217" t="str">
        <f aca="false">IF(J24=0,"",J24)</f>
        <v/>
      </c>
      <c r="N24" s="1217" t="str">
        <f aca="false">IF(K24=0,"",K24)</f>
        <v/>
      </c>
      <c r="O24" s="1230"/>
      <c r="P24" s="1230"/>
      <c r="Q24" s="1230" t="s">
        <v>726</v>
      </c>
      <c r="R24" s="1230"/>
      <c r="S24" s="1230"/>
      <c r="T24" s="1231"/>
      <c r="U24" s="1198"/>
      <c r="V24" s="1198" t="s">
        <v>2054</v>
      </c>
      <c r="W24" s="1198"/>
      <c r="X24" s="1214"/>
      <c r="Y24" s="1218"/>
      <c r="Z24" s="1198"/>
      <c r="AA24" s="1205"/>
      <c r="AB24" s="1198"/>
      <c r="AC24" s="1198"/>
      <c r="AD24" s="1198"/>
    </row>
    <row r="25" customFormat="false" ht="36" hidden="false" customHeight="true" outlineLevel="0" collapsed="false">
      <c r="A25" s="1216"/>
      <c r="B25" s="1219" t="n">
        <v>8</v>
      </c>
      <c r="C25" s="1214" t="n">
        <v>6</v>
      </c>
      <c r="D25" s="1227"/>
      <c r="E25" s="1214"/>
      <c r="F25" s="1214"/>
      <c r="G25" s="1232"/>
      <c r="H25" s="1233"/>
      <c r="I25" s="1229" t="str">
        <f aca="false">INDEX(TEMPLATE_NUMBER_POINT_FHD,B25,MATCH(TEMPLATE_SPHERE,TEMPLATE_SPHERE_LIST_FOR_NOTE,0))</f>
        <v>2.2</v>
      </c>
      <c r="J25" s="1229" t="str">
        <f aca="false">INDEX(TEMPLATE_DATA_POINT_FHD,B25,MATCH(TEMPLATE_SPHERE,TEMPLATE_SPHERE_LIST_FOR_NOTE,0))</f>
        <v>Расходы на приобретаемую электрическую энергию (мощность), используемую в технологическом процессе</v>
      </c>
      <c r="K25" s="1229" t="n">
        <f aca="false">INDEX(TEMPLATE_NOTE_POINT_FHD,B25,MATCH(TEMPLATE_SPHERE,TEMPLATE_SPHERE_LIST_FOR_NOTE,0))</f>
        <v>0</v>
      </c>
      <c r="L25" s="1217" t="str">
        <f aca="false">IF(I25=0,"",I25)</f>
        <v>2.2</v>
      </c>
      <c r="M25" s="1217" t="str">
        <f aca="false">IF(J25=0,"",J25)</f>
        <v>Расходы на приобретаемую электрическую энергию (мощность), используемую в технологическом процессе</v>
      </c>
      <c r="N25" s="1217" t="str">
        <f aca="false">IF(K25=0,"",K25)</f>
        <v/>
      </c>
      <c r="O25" s="1230" t="s">
        <v>307</v>
      </c>
      <c r="P25" s="1230" t="s">
        <v>304</v>
      </c>
      <c r="Q25" s="1230" t="s">
        <v>733</v>
      </c>
      <c r="R25" s="1230" t="s">
        <v>304</v>
      </c>
      <c r="S25" s="1230"/>
      <c r="T25" s="1231" t="s">
        <v>2055</v>
      </c>
      <c r="U25" s="1198" t="s">
        <v>2055</v>
      </c>
      <c r="V25" s="1198" t="s">
        <v>2055</v>
      </c>
      <c r="W25" s="1198" t="s">
        <v>2055</v>
      </c>
      <c r="X25" s="1214"/>
      <c r="Y25" s="1218"/>
      <c r="Z25" s="1198"/>
      <c r="AA25" s="1205"/>
      <c r="AB25" s="1198"/>
      <c r="AC25" s="1198"/>
      <c r="AD25" s="1198"/>
    </row>
    <row r="26" customFormat="false" ht="18" hidden="false" customHeight="true" outlineLevel="0" collapsed="false">
      <c r="A26" s="1216"/>
      <c r="B26" s="1219" t="n">
        <v>9</v>
      </c>
      <c r="C26" s="1214" t="s">
        <v>649</v>
      </c>
      <c r="D26" s="1227"/>
      <c r="E26" s="1214"/>
      <c r="F26" s="1214"/>
      <c r="G26" s="1232"/>
      <c r="H26" s="1233"/>
      <c r="I26" s="1229" t="str">
        <f aca="false">INDEX(TEMPLATE_NUMBER_POINT_FHD,B26,MATCH(TEMPLATE_SPHERE,TEMPLATE_SPHERE_LIST_FOR_NOTE,0))</f>
        <v>2.2.1</v>
      </c>
      <c r="J26" s="1229" t="str">
        <f aca="false">INDEX(TEMPLATE_DATA_POINT_FHD,B26,MATCH(TEMPLATE_SPHERE,TEMPLATE_SPHERE_LIST_FOR_NOTE,0))</f>
        <v>Средневзвешенная стоимость 1 кВт.ч (с учетом мощности)</v>
      </c>
      <c r="K26" s="1229" t="n">
        <f aca="false">INDEX(TEMPLATE_NOTE_POINT_FHD,B26,MATCH(TEMPLATE_SPHERE,TEMPLATE_SPHERE_LIST_FOR_NOTE,0))</f>
        <v>0</v>
      </c>
      <c r="L26" s="1217" t="str">
        <f aca="false">IF(I26=0,"",I26)</f>
        <v>2.2.1</v>
      </c>
      <c r="M26" s="1217" t="str">
        <f aca="false">IF(J26=0,"",J26)</f>
        <v>Средневзвешенная стоимость 1 кВт.ч (с учетом мощности)</v>
      </c>
      <c r="N26" s="1217" t="str">
        <f aca="false">IF(K26=0,"",K26)</f>
        <v/>
      </c>
      <c r="O26" s="1230" t="s">
        <v>722</v>
      </c>
      <c r="P26" s="1230" t="s">
        <v>716</v>
      </c>
      <c r="Q26" s="1230" t="s">
        <v>2056</v>
      </c>
      <c r="R26" s="1230" t="s">
        <v>716</v>
      </c>
      <c r="S26" s="1230"/>
      <c r="T26" s="1231" t="str">
        <f aca="false">"Средневзвешенная стоимость 1 кВт.ч"&amp;IF(TITLE_TYPE_ORG="Регулируемая организация"," (с учетом мощности)","")</f>
        <v>Средневзвешенная стоимость 1 кВт.ч</v>
      </c>
      <c r="U26" s="1231" t="s">
        <v>2057</v>
      </c>
      <c r="V26" s="1231" t="s">
        <v>2057</v>
      </c>
      <c r="W26" s="1231" t="s">
        <v>2057</v>
      </c>
      <c r="X26" s="1214"/>
      <c r="Y26" s="1218"/>
      <c r="Z26" s="1198"/>
      <c r="AA26" s="1205"/>
      <c r="AB26" s="1198"/>
      <c r="AC26" s="1198"/>
      <c r="AD26" s="1198"/>
    </row>
    <row r="27" customFormat="false" ht="18" hidden="false" customHeight="true" outlineLevel="0" collapsed="false">
      <c r="A27" s="1216"/>
      <c r="B27" s="1219" t="n">
        <v>10</v>
      </c>
      <c r="C27" s="1214" t="s">
        <v>653</v>
      </c>
      <c r="D27" s="1227"/>
      <c r="E27" s="1214"/>
      <c r="F27" s="1214"/>
      <c r="G27" s="1232"/>
      <c r="H27" s="1233"/>
      <c r="I27" s="1229" t="str">
        <f aca="false">INDEX(TEMPLATE_NUMBER_POINT_FHD,B27,MATCH(TEMPLATE_SPHERE,TEMPLATE_SPHERE_LIST_FOR_NOTE,0))</f>
        <v>2.2.2</v>
      </c>
      <c r="J27" s="1229" t="str">
        <f aca="false">INDEX(TEMPLATE_DATA_POINT_FHD,B27,MATCH(TEMPLATE_SPHERE,TEMPLATE_SPHERE_LIST_FOR_NOTE,0))</f>
        <v>Объём приобретения электрической энергии</v>
      </c>
      <c r="K27" s="1229" t="n">
        <f aca="false">INDEX(TEMPLATE_NOTE_POINT_FHD,B27,MATCH(TEMPLATE_SPHERE,TEMPLATE_SPHERE_LIST_FOR_NOTE,0))</f>
        <v>0</v>
      </c>
      <c r="L27" s="1217" t="str">
        <f aca="false">IF(I27=0,"",I27)</f>
        <v>2.2.2</v>
      </c>
      <c r="M27" s="1217" t="str">
        <f aca="false">IF(J27=0,"",J27)</f>
        <v>Объём приобретения электрической энергии</v>
      </c>
      <c r="N27" s="1217" t="str">
        <f aca="false">IF(K27=0,"",K27)</f>
        <v/>
      </c>
      <c r="O27" s="1230" t="s">
        <v>724</v>
      </c>
      <c r="P27" s="1230" t="s">
        <v>718</v>
      </c>
      <c r="Q27" s="1230" t="s">
        <v>2058</v>
      </c>
      <c r="R27" s="1230" t="s">
        <v>718</v>
      </c>
      <c r="S27" s="1230"/>
      <c r="T27" s="1231" t="s">
        <v>2059</v>
      </c>
      <c r="U27" s="1231" t="s">
        <v>2059</v>
      </c>
      <c r="V27" s="1231" t="s">
        <v>2059</v>
      </c>
      <c r="W27" s="1231" t="s">
        <v>2059</v>
      </c>
      <c r="X27" s="1214"/>
      <c r="Y27" s="1218"/>
      <c r="Z27" s="1198"/>
      <c r="AA27" s="1205"/>
      <c r="AB27" s="1198"/>
      <c r="AC27" s="1198"/>
      <c r="AD27" s="1198"/>
    </row>
    <row r="28" customFormat="false" ht="27" hidden="false" customHeight="true" outlineLevel="0" collapsed="false">
      <c r="A28" s="1216"/>
      <c r="B28" s="1219" t="n">
        <v>11</v>
      </c>
      <c r="C28" s="1214" t="n">
        <v>7</v>
      </c>
      <c r="D28" s="1227"/>
      <c r="E28" s="1214"/>
      <c r="F28" s="1214"/>
      <c r="G28" s="1232"/>
      <c r="H28" s="1233"/>
      <c r="I28" s="1229" t="n">
        <f aca="false">INDEX(TEMPLATE_NUMBER_POINT_FHD,B28,MATCH(TEMPLATE_SPHERE,TEMPLATE_SPHERE_LIST_FOR_NOTE,0))</f>
        <v>0</v>
      </c>
      <c r="J28" s="1229" t="n">
        <f aca="false">INDEX(TEMPLATE_DATA_POINT_FHD,B28,MATCH(TEMPLATE_SPHERE,TEMPLATE_SPHERE_LIST_FOR_NOTE,0))</f>
        <v>0</v>
      </c>
      <c r="K28" s="1229" t="n">
        <f aca="false">INDEX(TEMPLATE_NOTE_POINT_FHD,B28,MATCH(TEMPLATE_SPHERE,TEMPLATE_SPHERE_LIST_FOR_NOTE,0))</f>
        <v>0</v>
      </c>
      <c r="L28" s="1217" t="str">
        <f aca="false">IF(I28=0,"",I28)</f>
        <v/>
      </c>
      <c r="M28" s="1217" t="str">
        <f aca="false">IF(J28=0,"",J28)</f>
        <v/>
      </c>
      <c r="N28" s="1217" t="str">
        <f aca="false">IF(K28=0,"",K28)</f>
        <v/>
      </c>
      <c r="O28" s="1230" t="s">
        <v>726</v>
      </c>
      <c r="P28" s="1230"/>
      <c r="Q28" s="1230"/>
      <c r="R28" s="1230"/>
      <c r="S28" s="1230"/>
      <c r="T28" s="1231" t="s">
        <v>2060</v>
      </c>
      <c r="U28" s="1198"/>
      <c r="V28" s="1198"/>
      <c r="W28" s="1198"/>
      <c r="X28" s="1214"/>
      <c r="Y28" s="1218"/>
      <c r="Z28" s="1198"/>
      <c r="AA28" s="1205"/>
      <c r="AB28" s="1198"/>
      <c r="AC28" s="1198"/>
      <c r="AD28" s="1198"/>
    </row>
    <row r="29" customFormat="false" ht="27" hidden="false" customHeight="true" outlineLevel="0" collapsed="false">
      <c r="A29" s="1216"/>
      <c r="B29" s="1219" t="n">
        <v>12</v>
      </c>
      <c r="C29" s="1214" t="n">
        <v>8</v>
      </c>
      <c r="D29" s="1227"/>
      <c r="E29" s="1214"/>
      <c r="F29" s="1214"/>
      <c r="G29" s="1232"/>
      <c r="H29" s="1233"/>
      <c r="I29" s="1229" t="str">
        <f aca="false">INDEX(TEMPLATE_NUMBER_POINT_FHD,B29,MATCH(TEMPLATE_SPHERE,TEMPLATE_SPHERE_LIST_FOR_NOTE,0))</f>
        <v>2.3</v>
      </c>
      <c r="J29" s="1229" t="str">
        <f aca="false">INDEX(TEMPLATE_DATA_POINT_FHD,B29,MATCH(TEMPLATE_SPHERE,TEMPLATE_SPHERE_LIST_FOR_NOTE,0))</f>
        <v>Расходы на химические реагенты, используемые в технологическом процессе</v>
      </c>
      <c r="K29" s="1229" t="n">
        <f aca="false">INDEX(TEMPLATE_NOTE_POINT_FHD,B29,MATCH(TEMPLATE_SPHERE,TEMPLATE_SPHERE_LIST_FOR_NOTE,0))</f>
        <v>0</v>
      </c>
      <c r="L29" s="1217" t="str">
        <f aca="false">IF(I29=0,"",I29)</f>
        <v>2.3</v>
      </c>
      <c r="M29" s="1217" t="str">
        <f aca="false">IF(J29=0,"",J29)</f>
        <v>Расходы на химические реагенты, используемые в технологическом процессе</v>
      </c>
      <c r="N29" s="1217" t="str">
        <f aca="false">IF(K29=0,"",K29)</f>
        <v/>
      </c>
      <c r="O29" s="1230" t="s">
        <v>733</v>
      </c>
      <c r="P29" s="1230" t="s">
        <v>307</v>
      </c>
      <c r="Q29" s="1230"/>
      <c r="R29" s="1230" t="s">
        <v>307</v>
      </c>
      <c r="S29" s="1230"/>
      <c r="T29" s="1231" t="str">
        <f aca="false">"Расходы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98" t="s">
        <v>2061</v>
      </c>
      <c r="V29" s="1198"/>
      <c r="W29" s="1198" t="s">
        <v>2061</v>
      </c>
      <c r="X29" s="1214"/>
      <c r="Y29" s="1218"/>
      <c r="Z29" s="1198"/>
      <c r="AA29" s="1205"/>
      <c r="AB29" s="1198"/>
      <c r="AC29" s="1198"/>
      <c r="AD29" s="1198"/>
    </row>
    <row r="30" customFormat="false" ht="54" hidden="false" customHeight="true" outlineLevel="0" collapsed="false">
      <c r="A30" s="1216"/>
      <c r="B30" s="1219" t="n">
        <v>13</v>
      </c>
      <c r="C30" s="1214" t="n">
        <v>9</v>
      </c>
      <c r="D30" s="1227"/>
      <c r="E30" s="1214"/>
      <c r="F30" s="1214"/>
      <c r="G30" s="1232"/>
      <c r="H30" s="1233"/>
      <c r="I30" s="1229" t="str">
        <f aca="false">INDEX(TEMPLATE_NUMBER_POINT_FHD,B30,MATCH(TEMPLATE_SPHERE,TEMPLATE_SPHERE_LIST_FOR_NOTE,0))</f>
        <v>2.4</v>
      </c>
      <c r="J30" s="1229" t="str">
        <f aca="false">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29" t="str">
        <f aca="false">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217" t="str">
        <f aca="false">IF(I30=0,"",I30)</f>
        <v>2.4</v>
      </c>
      <c r="M30" s="1217" t="str">
        <f aca="false">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17" t="str">
        <f aca="false">IF(K30=0,"",K30)</f>
        <v>Указывается общая сумма расходов на оплату труда и отчислений на социальные нужды основного производственного персонала.</v>
      </c>
      <c r="O30" s="1230" t="s">
        <v>735</v>
      </c>
      <c r="P30" s="1230" t="s">
        <v>726</v>
      </c>
      <c r="Q30" s="1230" t="s">
        <v>735</v>
      </c>
      <c r="R30" s="1230" t="s">
        <v>726</v>
      </c>
      <c r="S30" s="1230"/>
      <c r="T30" s="1231" t="s">
        <v>2062</v>
      </c>
      <c r="U30" s="1198" t="s">
        <v>2062</v>
      </c>
      <c r="V30" s="1198" t="s">
        <v>2062</v>
      </c>
      <c r="W30" s="1198" t="s">
        <v>2062</v>
      </c>
      <c r="X30" s="1214"/>
      <c r="Y30" s="1218"/>
      <c r="Z30" s="1198"/>
      <c r="AA30" s="1205" t="s">
        <v>2063</v>
      </c>
      <c r="AB30" s="1205" t="s">
        <v>2063</v>
      </c>
      <c r="AC30" s="1205" t="s">
        <v>2063</v>
      </c>
      <c r="AD30" s="1198"/>
    </row>
    <row r="31" customFormat="false" ht="18" hidden="false" customHeight="true" outlineLevel="0" collapsed="false">
      <c r="A31" s="1216"/>
      <c r="B31" s="1219" t="n">
        <v>14</v>
      </c>
      <c r="C31" s="1214" t="s">
        <v>2064</v>
      </c>
      <c r="D31" s="1227"/>
      <c r="E31" s="1214"/>
      <c r="F31" s="1214"/>
      <c r="G31" s="1232"/>
      <c r="H31" s="1233"/>
      <c r="I31" s="1229" t="str">
        <f aca="false">INDEX(TEMPLATE_NUMBER_POINT_FHD,B31,MATCH(TEMPLATE_SPHERE,TEMPLATE_SPHERE_LIST_FOR_NOTE,0))</f>
        <v>2.4.1</v>
      </c>
      <c r="J31" s="1229" t="str">
        <f aca="false">INDEX(TEMPLATE_DATA_POINT_FHD,B31,MATCH(TEMPLATE_SPHERE,TEMPLATE_SPHERE_LIST_FOR_NOTE,0))</f>
        <v>Расходы на оплату труда основного производственного персонала</v>
      </c>
      <c r="K31" s="1229" t="n">
        <f aca="false">INDEX(TEMPLATE_NOTE_POINT_FHD,B31,MATCH(TEMPLATE_SPHERE,TEMPLATE_SPHERE_LIST_FOR_NOTE,0))</f>
        <v>0</v>
      </c>
      <c r="L31" s="1217" t="str">
        <f aca="false">IF(I31=0,"",I31)</f>
        <v>2.4.1</v>
      </c>
      <c r="M31" s="1217" t="str">
        <f aca="false">IF(J31=0,"",J31)</f>
        <v>Расходы на оплату труда основного производственного персонала</v>
      </c>
      <c r="N31" s="1217" t="str">
        <f aca="false">IF(K31=0,"",K31)</f>
        <v/>
      </c>
      <c r="O31" s="1230" t="s">
        <v>2065</v>
      </c>
      <c r="P31" s="1230" t="s">
        <v>729</v>
      </c>
      <c r="Q31" s="1230" t="s">
        <v>2065</v>
      </c>
      <c r="R31" s="1230" t="s">
        <v>729</v>
      </c>
      <c r="S31" s="1230"/>
      <c r="T31" s="1234" t="s">
        <v>2066</v>
      </c>
      <c r="U31" s="1198" t="s">
        <v>2066</v>
      </c>
      <c r="V31" s="1198" t="s">
        <v>2066</v>
      </c>
      <c r="W31" s="1198" t="s">
        <v>2066</v>
      </c>
      <c r="X31" s="1214"/>
      <c r="Y31" s="1218"/>
      <c r="Z31" s="1198"/>
      <c r="AA31" s="1205"/>
      <c r="AB31" s="1205"/>
      <c r="AC31" s="1205"/>
      <c r="AD31" s="1198"/>
    </row>
    <row r="32" customFormat="false" ht="36" hidden="false" customHeight="true" outlineLevel="0" collapsed="false">
      <c r="A32" s="1216"/>
      <c r="B32" s="1219" t="n">
        <v>15</v>
      </c>
      <c r="C32" s="1214" t="s">
        <v>2067</v>
      </c>
      <c r="D32" s="1227"/>
      <c r="E32" s="1214"/>
      <c r="F32" s="1214"/>
      <c r="G32" s="1232"/>
      <c r="H32" s="1233"/>
      <c r="I32" s="1229" t="str">
        <f aca="false">INDEX(TEMPLATE_NUMBER_POINT_FHD,B32,MATCH(TEMPLATE_SPHERE,TEMPLATE_SPHERE_LIST_FOR_NOTE,0))</f>
        <v>2.4.2</v>
      </c>
      <c r="J32" s="1229" t="str">
        <f aca="false">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29" t="n">
        <f aca="false">INDEX(TEMPLATE_NOTE_POINT_FHD,B32,MATCH(TEMPLATE_SPHERE,TEMPLATE_SPHERE_LIST_FOR_NOTE,0))</f>
        <v>0</v>
      </c>
      <c r="L32" s="1217" t="str">
        <f aca="false">IF(I32=0,"",I32)</f>
        <v>2.4.2</v>
      </c>
      <c r="M32" s="1217" t="str">
        <f aca="false">IF(J32=0,"",J32)</f>
        <v>Страховые взносы на обязательное социальное страхование, выплачиваемые из фонда оплаты труда основного производственного персонала</v>
      </c>
      <c r="N32" s="1217" t="str">
        <f aca="false">IF(K32=0,"",K32)</f>
        <v/>
      </c>
      <c r="O32" s="1230" t="s">
        <v>2068</v>
      </c>
      <c r="P32" s="1230" t="s">
        <v>731</v>
      </c>
      <c r="Q32" s="1230" t="s">
        <v>2068</v>
      </c>
      <c r="R32" s="1230" t="s">
        <v>731</v>
      </c>
      <c r="S32" s="1230"/>
      <c r="T32" s="1235" t="str">
        <f aca="false">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98" t="s">
        <v>2069</v>
      </c>
      <c r="V32" s="1198" t="s">
        <v>2069</v>
      </c>
      <c r="W32" s="1198" t="s">
        <v>2069</v>
      </c>
      <c r="X32" s="1214"/>
      <c r="Y32" s="1218"/>
      <c r="Z32" s="1198"/>
      <c r="AA32" s="1205"/>
      <c r="AB32" s="1205"/>
      <c r="AC32" s="1205"/>
      <c r="AD32" s="1198"/>
    </row>
    <row r="33" customFormat="false" ht="45" hidden="false" customHeight="true" outlineLevel="0" collapsed="false">
      <c r="A33" s="1216"/>
      <c r="B33" s="1219" t="n">
        <v>16</v>
      </c>
      <c r="C33" s="1214" t="n">
        <v>10</v>
      </c>
      <c r="D33" s="1227"/>
      <c r="E33" s="1214"/>
      <c r="F33" s="1214"/>
      <c r="G33" s="1232"/>
      <c r="H33" s="1233"/>
      <c r="I33" s="1229" t="str">
        <f aca="false">INDEX(TEMPLATE_NUMBER_POINT_FHD,B33,MATCH(TEMPLATE_SPHERE,TEMPLATE_SPHERE_LIST_FOR_NOTE,0))</f>
        <v>2.5</v>
      </c>
      <c r="J33" s="1229" t="str">
        <f aca="false">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229" t="str">
        <f aca="false">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217" t="str">
        <f aca="false">IF(I33=0,"",I33)</f>
        <v>2.5</v>
      </c>
      <c r="M33" s="1217" t="str">
        <f aca="false">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217" t="str">
        <f aca="false">IF(K33=0,"",K33)</f>
        <v>Указывается общая сумма расходов на оплату труда и отчислений на социальные нужды административно-управленческого персонала.</v>
      </c>
      <c r="O33" s="1230" t="s">
        <v>737</v>
      </c>
      <c r="P33" s="1230" t="s">
        <v>733</v>
      </c>
      <c r="Q33" s="1230" t="s">
        <v>737</v>
      </c>
      <c r="R33" s="1230" t="s">
        <v>733</v>
      </c>
      <c r="S33" s="1230"/>
      <c r="T33" s="1234" t="str">
        <f aca="fals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98" t="s">
        <v>2070</v>
      </c>
      <c r="V33" s="1198" t="s">
        <v>2070</v>
      </c>
      <c r="W33" s="1198" t="s">
        <v>2071</v>
      </c>
      <c r="X33" s="1214"/>
      <c r="Y33" s="1218"/>
      <c r="Z33" s="1198"/>
      <c r="AA33" s="1205" t="s">
        <v>2072</v>
      </c>
      <c r="AB33" s="1205" t="s">
        <v>2072</v>
      </c>
      <c r="AC33" s="1205" t="s">
        <v>2072</v>
      </c>
      <c r="AD33" s="1198"/>
    </row>
    <row r="34" customFormat="false" ht="27" hidden="false" customHeight="true" outlineLevel="0" collapsed="false">
      <c r="A34" s="1216"/>
      <c r="B34" s="1219" t="n">
        <v>17</v>
      </c>
      <c r="C34" s="1214" t="s">
        <v>2073</v>
      </c>
      <c r="D34" s="1227"/>
      <c r="E34" s="1214"/>
      <c r="F34" s="1214"/>
      <c r="G34" s="1232"/>
      <c r="H34" s="1233"/>
      <c r="I34" s="1229" t="str">
        <f aca="false">INDEX(TEMPLATE_NUMBER_POINT_FHD,B34,MATCH(TEMPLATE_SPHERE,TEMPLATE_SPHERE_LIST_FOR_NOTE,0))</f>
        <v>2.5.1</v>
      </c>
      <c r="J34" s="1229" t="str">
        <f aca="false">INDEX(TEMPLATE_DATA_POINT_FHD,B34,MATCH(TEMPLATE_SPHERE,TEMPLATE_SPHERE_LIST_FOR_NOTE,0))</f>
        <v>Расходы на оплату труда административно-управленческого персонала, в том числе:</v>
      </c>
      <c r="K34" s="1229" t="n">
        <f aca="false">INDEX(TEMPLATE_NOTE_POINT_FHD,B34,MATCH(TEMPLATE_SPHERE,TEMPLATE_SPHERE_LIST_FOR_NOTE,0))</f>
        <v>0</v>
      </c>
      <c r="L34" s="1217" t="str">
        <f aca="false">IF(I34=0,"",I34)</f>
        <v>2.5.1</v>
      </c>
      <c r="M34" s="1217" t="str">
        <f aca="false">IF(J34=0,"",J34)</f>
        <v>Расходы на оплату труда административно-управленческого персонала, в том числе:</v>
      </c>
      <c r="N34" s="1217" t="str">
        <f aca="false">IF(K34=0,"",K34)</f>
        <v/>
      </c>
      <c r="O34" s="1230" t="s">
        <v>2074</v>
      </c>
      <c r="P34" s="1230" t="s">
        <v>2056</v>
      </c>
      <c r="Q34" s="1230" t="s">
        <v>2074</v>
      </c>
      <c r="R34" s="1230" t="s">
        <v>2056</v>
      </c>
      <c r="S34" s="1230"/>
      <c r="T34" s="1235" t="s">
        <v>2075</v>
      </c>
      <c r="U34" s="1198" t="s">
        <v>2075</v>
      </c>
      <c r="V34" s="1198" t="s">
        <v>2075</v>
      </c>
      <c r="W34" s="1198" t="s">
        <v>2076</v>
      </c>
      <c r="X34" s="1214"/>
      <c r="Y34" s="1218"/>
      <c r="Z34" s="1198"/>
      <c r="AA34" s="1205"/>
      <c r="AB34" s="1198"/>
      <c r="AC34" s="1198"/>
      <c r="AD34" s="1198"/>
    </row>
    <row r="35" customFormat="false" ht="45" hidden="false" customHeight="true" outlineLevel="0" collapsed="false">
      <c r="A35" s="1216"/>
      <c r="B35" s="1219" t="n">
        <v>18</v>
      </c>
      <c r="C35" s="1214" t="s">
        <v>2077</v>
      </c>
      <c r="D35" s="1227"/>
      <c r="E35" s="1214"/>
      <c r="F35" s="1214"/>
      <c r="G35" s="1232"/>
      <c r="H35" s="1233"/>
      <c r="I35" s="1229" t="str">
        <f aca="false">INDEX(TEMPLATE_NUMBER_POINT_FHD,B35,MATCH(TEMPLATE_SPHERE,TEMPLATE_SPHERE_LIST_FOR_NOTE,0))</f>
        <v>2.5.2</v>
      </c>
      <c r="J35" s="1229" t="str">
        <f aca="false">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29" t="n">
        <f aca="false">INDEX(TEMPLATE_NOTE_POINT_FHD,B35,MATCH(TEMPLATE_SPHERE,TEMPLATE_SPHERE_LIST_FOR_NOTE,0))</f>
        <v>0</v>
      </c>
      <c r="L35" s="1217" t="str">
        <f aca="false">IF(I35=0,"",I35)</f>
        <v>2.5.2</v>
      </c>
      <c r="M35" s="1217" t="str">
        <f aca="false">IF(J35=0,"",J35)</f>
        <v>Страховые взносы на обязательное социальное страхование, выплачиваемые из фонда оплаты труда административно-управленческого персонала</v>
      </c>
      <c r="N35" s="1217" t="str">
        <f aca="false">IF(K35=0,"",K35)</f>
        <v/>
      </c>
      <c r="O35" s="1230" t="s">
        <v>2078</v>
      </c>
      <c r="P35" s="1230" t="s">
        <v>2058</v>
      </c>
      <c r="Q35" s="1230" t="s">
        <v>2078</v>
      </c>
      <c r="R35" s="1230" t="s">
        <v>2058</v>
      </c>
      <c r="S35" s="1230"/>
      <c r="T35" s="1231" t="str">
        <f aca="false">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98" t="s">
        <v>2079</v>
      </c>
      <c r="V35" s="1198" t="s">
        <v>2079</v>
      </c>
      <c r="W35" s="1198" t="s">
        <v>2079</v>
      </c>
      <c r="X35" s="1214"/>
      <c r="Y35" s="1218"/>
      <c r="Z35" s="1198"/>
      <c r="AA35" s="1205"/>
      <c r="AB35" s="1198"/>
      <c r="AC35" s="1198"/>
      <c r="AD35" s="1198"/>
    </row>
    <row r="36" customFormat="false" ht="18" hidden="false" customHeight="true" outlineLevel="0" collapsed="false">
      <c r="A36" s="1216"/>
      <c r="B36" s="1219" t="n">
        <v>19</v>
      </c>
      <c r="C36" s="1214" t="n">
        <v>11</v>
      </c>
      <c r="D36" s="1227"/>
      <c r="E36" s="1214"/>
      <c r="F36" s="1214"/>
      <c r="G36" s="1232"/>
      <c r="H36" s="1233"/>
      <c r="I36" s="1229" t="str">
        <f aca="false">INDEX(TEMPLATE_NUMBER_POINT_FHD,B36,MATCH(TEMPLATE_SPHERE,TEMPLATE_SPHERE_LIST_FOR_NOTE,0))</f>
        <v>2.6</v>
      </c>
      <c r="J36" s="1229" t="str">
        <f aca="false">INDEX(TEMPLATE_DATA_POINT_FHD,B36,MATCH(TEMPLATE_SPHERE,TEMPLATE_SPHERE_LIST_FOR_NOTE,0))</f>
        <v>Расходы на амортизацию основных средств и нематериальных активов</v>
      </c>
      <c r="K36" s="1229" t="n">
        <f aca="false">INDEX(TEMPLATE_NOTE_POINT_FHD,B36,MATCH(TEMPLATE_SPHERE,TEMPLATE_SPHERE_LIST_FOR_NOTE,0))</f>
        <v>0</v>
      </c>
      <c r="L36" s="1217" t="str">
        <f aca="false">IF(I36=0,"",I36)</f>
        <v>2.6</v>
      </c>
      <c r="M36" s="1217" t="str">
        <f aca="false">IF(J36=0,"",J36)</f>
        <v>Расходы на амортизацию основных средств и нематериальных активов</v>
      </c>
      <c r="N36" s="1217" t="str">
        <f aca="false">IF(K36=0,"",K36)</f>
        <v/>
      </c>
      <c r="O36" s="1230" t="s">
        <v>739</v>
      </c>
      <c r="P36" s="1230" t="s">
        <v>735</v>
      </c>
      <c r="Q36" s="1230" t="s">
        <v>739</v>
      </c>
      <c r="R36" s="1230" t="s">
        <v>735</v>
      </c>
      <c r="S36" s="1230"/>
      <c r="T36" s="1231" t="s">
        <v>2080</v>
      </c>
      <c r="U36" s="1198" t="s">
        <v>2080</v>
      </c>
      <c r="V36" s="1198" t="s">
        <v>2080</v>
      </c>
      <c r="W36" s="1198" t="s">
        <v>2080</v>
      </c>
      <c r="X36" s="1214"/>
      <c r="Y36" s="1218"/>
      <c r="Z36" s="1198"/>
      <c r="AA36" s="1205"/>
      <c r="AB36" s="1198"/>
      <c r="AC36" s="1198"/>
      <c r="AD36" s="1198"/>
    </row>
    <row r="37" customFormat="false" ht="18" hidden="false" customHeight="true" outlineLevel="0" collapsed="false">
      <c r="A37" s="1216"/>
      <c r="B37" s="1219" t="n">
        <v>20</v>
      </c>
      <c r="C37" s="1214" t="s">
        <v>2081</v>
      </c>
      <c r="D37" s="1227"/>
      <c r="E37" s="1214"/>
      <c r="F37" s="1214"/>
      <c r="G37" s="1232"/>
      <c r="H37" s="1233"/>
      <c r="I37" s="1229" t="str">
        <f aca="false">INDEX(TEMPLATE_NUMBER_POINT_FHD,B37,MATCH(TEMPLATE_SPHERE,TEMPLATE_SPHERE_LIST_FOR_NOTE,0))</f>
        <v>2.6.1</v>
      </c>
      <c r="J37" s="1229" t="str">
        <f aca="false">INDEX(TEMPLATE_DATA_POINT_FHD,B37,MATCH(TEMPLATE_SPHERE,TEMPLATE_SPHERE_LIST_FOR_NOTE,0))</f>
        <v>Расходы на амортизацию основных средств</v>
      </c>
      <c r="K37" s="1229" t="n">
        <f aca="false">INDEX(TEMPLATE_NOTE_POINT_FHD,B37,MATCH(TEMPLATE_SPHERE,TEMPLATE_SPHERE_LIST_FOR_NOTE,0))</f>
        <v>0</v>
      </c>
      <c r="L37" s="1217" t="str">
        <f aca="false">IF(I37=0,"",I37)</f>
        <v>2.6.1</v>
      </c>
      <c r="M37" s="1217" t="str">
        <f aca="false">IF(J37=0,"",J37)</f>
        <v>Расходы на амортизацию основных средств</v>
      </c>
      <c r="N37" s="1217" t="str">
        <f aca="false">IF(K37=0,"",K37)</f>
        <v/>
      </c>
      <c r="O37" s="1230" t="s">
        <v>2082</v>
      </c>
      <c r="P37" s="1230" t="s">
        <v>2065</v>
      </c>
      <c r="Q37" s="1230" t="s">
        <v>2082</v>
      </c>
      <c r="R37" s="1230" t="s">
        <v>2065</v>
      </c>
      <c r="S37" s="1230"/>
      <c r="T37" s="1231" t="s">
        <v>2083</v>
      </c>
      <c r="U37" s="1198" t="s">
        <v>2083</v>
      </c>
      <c r="V37" s="1198" t="s">
        <v>2083</v>
      </c>
      <c r="W37" s="1198" t="s">
        <v>2083</v>
      </c>
      <c r="X37" s="1214"/>
      <c r="Y37" s="1218"/>
      <c r="Z37" s="1198"/>
      <c r="AA37" s="1205"/>
      <c r="AB37" s="1198"/>
      <c r="AC37" s="1198"/>
      <c r="AD37" s="1198"/>
    </row>
    <row r="38" customFormat="false" ht="18" hidden="false" customHeight="true" outlineLevel="0" collapsed="false">
      <c r="A38" s="1216"/>
      <c r="B38" s="1219" t="n">
        <v>21</v>
      </c>
      <c r="C38" s="1214" t="s">
        <v>2084</v>
      </c>
      <c r="D38" s="1227"/>
      <c r="E38" s="1214"/>
      <c r="F38" s="1214"/>
      <c r="G38" s="1232"/>
      <c r="H38" s="1233"/>
      <c r="I38" s="1229" t="str">
        <f aca="false">INDEX(TEMPLATE_NUMBER_POINT_FHD,B38,MATCH(TEMPLATE_SPHERE,TEMPLATE_SPHERE_LIST_FOR_NOTE,0))</f>
        <v>2.6.2</v>
      </c>
      <c r="J38" s="1229" t="str">
        <f aca="false">INDEX(TEMPLATE_DATA_POINT_FHD,B38,MATCH(TEMPLATE_SPHERE,TEMPLATE_SPHERE_LIST_FOR_NOTE,0))</f>
        <v>Расходы на амортизацию нематериальных активов</v>
      </c>
      <c r="K38" s="1229" t="n">
        <f aca="false">INDEX(TEMPLATE_NOTE_POINT_FHD,B38,MATCH(TEMPLATE_SPHERE,TEMPLATE_SPHERE_LIST_FOR_NOTE,0))</f>
        <v>0</v>
      </c>
      <c r="L38" s="1217" t="str">
        <f aca="false">IF(I38=0,"",I38)</f>
        <v>2.6.2</v>
      </c>
      <c r="M38" s="1217" t="str">
        <f aca="false">IF(J38=0,"",J38)</f>
        <v>Расходы на амортизацию нематериальных активов</v>
      </c>
      <c r="N38" s="1217" t="str">
        <f aca="false">IF(K38=0,"",K38)</f>
        <v/>
      </c>
      <c r="O38" s="1230" t="s">
        <v>2085</v>
      </c>
      <c r="P38" s="1230" t="s">
        <v>2068</v>
      </c>
      <c r="Q38" s="1230" t="s">
        <v>2085</v>
      </c>
      <c r="R38" s="1230" t="s">
        <v>2068</v>
      </c>
      <c r="S38" s="1230"/>
      <c r="T38" s="1231" t="s">
        <v>2086</v>
      </c>
      <c r="U38" s="1198" t="s">
        <v>2086</v>
      </c>
      <c r="V38" s="1198" t="s">
        <v>2086</v>
      </c>
      <c r="W38" s="1198" t="s">
        <v>2086</v>
      </c>
      <c r="X38" s="1214"/>
      <c r="Y38" s="1218"/>
      <c r="Z38" s="1198"/>
      <c r="AA38" s="1205"/>
      <c r="AB38" s="1198"/>
      <c r="AC38" s="1198"/>
      <c r="AD38" s="1198"/>
    </row>
    <row r="39" customFormat="false" ht="36" hidden="false" customHeight="true" outlineLevel="0" collapsed="false">
      <c r="A39" s="1216"/>
      <c r="B39" s="1219" t="n">
        <v>22</v>
      </c>
      <c r="C39" s="1214" t="n">
        <v>12</v>
      </c>
      <c r="D39" s="1227"/>
      <c r="E39" s="1214"/>
      <c r="F39" s="1214"/>
      <c r="G39" s="1232"/>
      <c r="H39" s="1233"/>
      <c r="I39" s="1229" t="str">
        <f aca="false">INDEX(TEMPLATE_NUMBER_POINT_FHD,B39,MATCH(TEMPLATE_SPHERE,TEMPLATE_SPHERE_LIST_FOR_NOTE,0))</f>
        <v>2.7</v>
      </c>
      <c r="J39" s="1229" t="str">
        <f aca="false">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229" t="n">
        <f aca="false">INDEX(TEMPLATE_NOTE_POINT_FHD,B39,MATCH(TEMPLATE_SPHERE,TEMPLATE_SPHERE_LIST_FOR_NOTE,0))</f>
        <v>0</v>
      </c>
      <c r="L39" s="1217" t="str">
        <f aca="false">IF(I39=0,"",I39)</f>
        <v>2.7</v>
      </c>
      <c r="M39" s="1217" t="str">
        <f aca="false">IF(J39=0,"",J39)</f>
        <v>Расходы на аренду имущества, используемого для осуществления регулируемых видов деятельности в сфере водоотведения</v>
      </c>
      <c r="N39" s="1217" t="str">
        <f aca="false">IF(K39=0,"",K39)</f>
        <v/>
      </c>
      <c r="O39" s="1230" t="s">
        <v>743</v>
      </c>
      <c r="P39" s="1230" t="s">
        <v>737</v>
      </c>
      <c r="Q39" s="1230" t="s">
        <v>743</v>
      </c>
      <c r="R39" s="1230" t="s">
        <v>737</v>
      </c>
      <c r="S39" s="1230"/>
      <c r="T39" s="1231" t="s">
        <v>2087</v>
      </c>
      <c r="U39" s="1198" t="s">
        <v>2088</v>
      </c>
      <c r="V39" s="1198" t="s">
        <v>2089</v>
      </c>
      <c r="W39" s="1198" t="s">
        <v>2090</v>
      </c>
      <c r="X39" s="1214"/>
      <c r="Y39" s="1218"/>
      <c r="Z39" s="1198"/>
      <c r="AA39" s="1205"/>
      <c r="AB39" s="1198"/>
      <c r="AC39" s="1198"/>
      <c r="AD39" s="1198"/>
    </row>
    <row r="40" customFormat="false" ht="18" hidden="false" customHeight="true" outlineLevel="0" collapsed="false">
      <c r="A40" s="1216"/>
      <c r="B40" s="1219" t="n">
        <v>23</v>
      </c>
      <c r="C40" s="1214" t="n">
        <v>13</v>
      </c>
      <c r="D40" s="1227"/>
      <c r="E40" s="1214"/>
      <c r="F40" s="1214"/>
      <c r="G40" s="1214"/>
      <c r="H40" s="1236"/>
      <c r="I40" s="1229" t="str">
        <f aca="false">INDEX(TEMPLATE_NUMBER_POINT_FHD,B40,MATCH(TEMPLATE_SPHERE,TEMPLATE_SPHERE_LIST_FOR_NOTE,0))</f>
        <v>2.8</v>
      </c>
      <c r="J40" s="1229" t="str">
        <f aca="false">INDEX(TEMPLATE_DATA_POINT_FHD,B40,MATCH(TEMPLATE_SPHERE,TEMPLATE_SPHERE_LIST_FOR_NOTE,0))</f>
        <v>Общепроизводственные расходы, в том числе:</v>
      </c>
      <c r="K40" s="1229" t="str">
        <f aca="false">INDEX(TEMPLATE_NOTE_POINT_FHD,B40,MATCH(TEMPLATE_SPHERE,TEMPLATE_SPHERE_LIST_FOR_NOTE,0))</f>
        <v>Указывается общая сумма общепроизводственных расходов.</v>
      </c>
      <c r="L40" s="1217" t="str">
        <f aca="false">IF(I40=0,"",I40)</f>
        <v>2.8</v>
      </c>
      <c r="M40" s="1217" t="str">
        <f aca="false">IF(J40=0,"",J40)</f>
        <v>Общепроизводственные расходы, в том числе:</v>
      </c>
      <c r="N40" s="1217" t="str">
        <f aca="false">IF(K40=0,"",K40)</f>
        <v>Указывается общая сумма общепроизводственных расходов.</v>
      </c>
      <c r="O40" s="1230" t="s">
        <v>2091</v>
      </c>
      <c r="P40" s="1230" t="s">
        <v>739</v>
      </c>
      <c r="Q40" s="1230" t="s">
        <v>2091</v>
      </c>
      <c r="R40" s="1230" t="s">
        <v>739</v>
      </c>
      <c r="S40" s="1230"/>
      <c r="T40" s="1214" t="s">
        <v>2092</v>
      </c>
      <c r="U40" s="1214" t="s">
        <v>2092</v>
      </c>
      <c r="V40" s="1214" t="s">
        <v>2092</v>
      </c>
      <c r="W40" s="1214" t="s">
        <v>2092</v>
      </c>
      <c r="X40" s="1214"/>
      <c r="Y40" s="1218"/>
      <c r="Z40" s="1198" t="s">
        <v>2093</v>
      </c>
      <c r="AA40" s="1205" t="s">
        <v>2093</v>
      </c>
      <c r="AB40" s="1205" t="s">
        <v>2093</v>
      </c>
      <c r="AC40" s="1205" t="s">
        <v>2093</v>
      </c>
      <c r="AD40" s="1198"/>
    </row>
    <row r="41" customFormat="false" ht="27" hidden="false" customHeight="true" outlineLevel="0" collapsed="false">
      <c r="A41" s="1216"/>
      <c r="B41" s="1219" t="n">
        <v>24</v>
      </c>
      <c r="C41" s="1214" t="s">
        <v>2094</v>
      </c>
      <c r="D41" s="1227"/>
      <c r="E41" s="1214"/>
      <c r="F41" s="1214"/>
      <c r="G41" s="1214"/>
      <c r="H41" s="1232"/>
      <c r="I41" s="1229" t="str">
        <f aca="false">INDEX(TEMPLATE_NUMBER_POINT_FHD,B41,MATCH(TEMPLATE_SPHERE,TEMPLATE_SPHERE_LIST_FOR_NOTE,0))</f>
        <v>2.8.1</v>
      </c>
      <c r="J41" s="1229" t="str">
        <f aca="false">INDEX(TEMPLATE_DATA_POINT_FHD,B41,MATCH(TEMPLATE_SPHERE,TEMPLATE_SPHERE_LIST_FOR_NOTE,0))</f>
        <v>Расходы на текущий ремонт</v>
      </c>
      <c r="K41" s="1229" t="str">
        <f aca="false">INDEX(TEMPLATE_NOTE_POINT_FHD,B41,MATCH(TEMPLATE_SPHERE,TEMPLATE_SPHERE_LIST_FOR_NOTE,0))</f>
        <v>Указываются расходы на текущий ремонт, отнесенные к общепроизводственным расходам.</v>
      </c>
      <c r="L41" s="1217" t="str">
        <f aca="false">IF(I41=0,"",I41)</f>
        <v>2.8.1</v>
      </c>
      <c r="M41" s="1217" t="str">
        <f aca="false">IF(J41=0,"",J41)</f>
        <v>Расходы на текущий ремонт</v>
      </c>
      <c r="N41" s="1217" t="str">
        <f aca="false">IF(K41=0,"",K41)</f>
        <v>Указываются расходы на текущий ремонт, отнесенные к общепроизводственным расходам.</v>
      </c>
      <c r="O41" s="1230" t="s">
        <v>2095</v>
      </c>
      <c r="P41" s="1230" t="s">
        <v>2082</v>
      </c>
      <c r="Q41" s="1230" t="s">
        <v>2095</v>
      </c>
      <c r="R41" s="1230" t="s">
        <v>2082</v>
      </c>
      <c r="S41" s="1230"/>
      <c r="T41" s="1214" t="s">
        <v>2096</v>
      </c>
      <c r="U41" s="1214" t="s">
        <v>2096</v>
      </c>
      <c r="V41" s="1214" t="s">
        <v>2096</v>
      </c>
      <c r="W41" s="1214" t="s">
        <v>2096</v>
      </c>
      <c r="X41" s="1214"/>
      <c r="Y41" s="1218"/>
      <c r="Z41" s="1198" t="s">
        <v>2097</v>
      </c>
      <c r="AA41" s="1198" t="s">
        <v>2097</v>
      </c>
      <c r="AB41" s="1198" t="s">
        <v>2097</v>
      </c>
      <c r="AC41" s="1198" t="s">
        <v>2097</v>
      </c>
      <c r="AD41" s="1198"/>
    </row>
    <row r="42" customFormat="false" ht="27" hidden="false" customHeight="true" outlineLevel="0" collapsed="false">
      <c r="A42" s="1216"/>
      <c r="B42" s="1219" t="n">
        <v>25</v>
      </c>
      <c r="C42" s="1214" t="s">
        <v>2098</v>
      </c>
      <c r="D42" s="1227"/>
      <c r="E42" s="1214"/>
      <c r="F42" s="1214"/>
      <c r="G42" s="1214"/>
      <c r="H42" s="1232"/>
      <c r="I42" s="1229" t="str">
        <f aca="false">INDEX(TEMPLATE_NUMBER_POINT_FHD,B42,MATCH(TEMPLATE_SPHERE,TEMPLATE_SPHERE_LIST_FOR_NOTE,0))</f>
        <v>2.8.2</v>
      </c>
      <c r="J42" s="1229" t="str">
        <f aca="false">INDEX(TEMPLATE_DATA_POINT_FHD,B42,MATCH(TEMPLATE_SPHERE,TEMPLATE_SPHERE_LIST_FOR_NOTE,0))</f>
        <v>Расходы на капитальный ремонт</v>
      </c>
      <c r="K42" s="1229" t="str">
        <f aca="false">INDEX(TEMPLATE_NOTE_POINT_FHD,B42,MATCH(TEMPLATE_SPHERE,TEMPLATE_SPHERE_LIST_FOR_NOTE,0))</f>
        <v>Указываются расходы на капитальный ремонт, отнесенные к общепроизводственным расходам.</v>
      </c>
      <c r="L42" s="1217" t="str">
        <f aca="false">IF(I42=0,"",I42)</f>
        <v>2.8.2</v>
      </c>
      <c r="M42" s="1217" t="str">
        <f aca="false">IF(J42=0,"",J42)</f>
        <v>Расходы на капитальный ремонт</v>
      </c>
      <c r="N42" s="1217" t="str">
        <f aca="false">IF(K42=0,"",K42)</f>
        <v>Указываются расходы на капитальный ремонт, отнесенные к общепроизводственным расходам.</v>
      </c>
      <c r="O42" s="1230" t="s">
        <v>2099</v>
      </c>
      <c r="P42" s="1230" t="s">
        <v>2085</v>
      </c>
      <c r="Q42" s="1230" t="s">
        <v>2099</v>
      </c>
      <c r="R42" s="1230" t="s">
        <v>2085</v>
      </c>
      <c r="S42" s="1230"/>
      <c r="T42" s="1214" t="s">
        <v>2100</v>
      </c>
      <c r="U42" s="1214" t="s">
        <v>2100</v>
      </c>
      <c r="V42" s="1214" t="s">
        <v>2100</v>
      </c>
      <c r="W42" s="1214" t="s">
        <v>2100</v>
      </c>
      <c r="X42" s="1214"/>
      <c r="Y42" s="1218"/>
      <c r="Z42" s="1198" t="s">
        <v>2101</v>
      </c>
      <c r="AA42" s="1198" t="s">
        <v>2101</v>
      </c>
      <c r="AB42" s="1198" t="s">
        <v>2101</v>
      </c>
      <c r="AC42" s="1198" t="s">
        <v>2101</v>
      </c>
      <c r="AD42" s="1198"/>
    </row>
    <row r="43" customFormat="false" ht="18" hidden="false" customHeight="true" outlineLevel="0" collapsed="false">
      <c r="A43" s="1216"/>
      <c r="B43" s="1219" t="n">
        <v>26</v>
      </c>
      <c r="C43" s="1214" t="n">
        <v>14</v>
      </c>
      <c r="D43" s="1227"/>
      <c r="E43" s="1214"/>
      <c r="F43" s="1214"/>
      <c r="G43" s="1214"/>
      <c r="H43" s="1232"/>
      <c r="I43" s="1229" t="str">
        <f aca="false">INDEX(TEMPLATE_NUMBER_POINT_FHD,B43,MATCH(TEMPLATE_SPHERE,TEMPLATE_SPHERE_LIST_FOR_NOTE,0))</f>
        <v>2.9</v>
      </c>
      <c r="J43" s="1229" t="str">
        <f aca="false">INDEX(TEMPLATE_DATA_POINT_FHD,B43,MATCH(TEMPLATE_SPHERE,TEMPLATE_SPHERE_LIST_FOR_NOTE,0))</f>
        <v>Общехозяйственные расходы, в том числе:</v>
      </c>
      <c r="K43" s="1229" t="str">
        <f aca="false">INDEX(TEMPLATE_NOTE_POINT_FHD,B43,MATCH(TEMPLATE_SPHERE,TEMPLATE_SPHERE_LIST_FOR_NOTE,0))</f>
        <v>Указывается общая сумма общехозяйственных расходов.</v>
      </c>
      <c r="L43" s="1217" t="str">
        <f aca="false">IF(I43=0,"",I43)</f>
        <v>2.9</v>
      </c>
      <c r="M43" s="1217" t="str">
        <f aca="false">IF(J43=0,"",J43)</f>
        <v>Общехозяйственные расходы, в том числе:</v>
      </c>
      <c r="N43" s="1217" t="str">
        <f aca="false">IF(K43=0,"",K43)</f>
        <v>Указывается общая сумма общехозяйственных расходов.</v>
      </c>
      <c r="O43" s="1230" t="s">
        <v>2102</v>
      </c>
      <c r="P43" s="1230" t="s">
        <v>743</v>
      </c>
      <c r="Q43" s="1230" t="s">
        <v>2102</v>
      </c>
      <c r="R43" s="1230" t="s">
        <v>743</v>
      </c>
      <c r="S43" s="1230"/>
      <c r="T43" s="1214" t="s">
        <v>2103</v>
      </c>
      <c r="U43" s="1214" t="s">
        <v>2103</v>
      </c>
      <c r="V43" s="1214" t="s">
        <v>2103</v>
      </c>
      <c r="W43" s="1214" t="s">
        <v>2103</v>
      </c>
      <c r="X43" s="1214"/>
      <c r="Y43" s="1218"/>
      <c r="Z43" s="1198" t="s">
        <v>2104</v>
      </c>
      <c r="AA43" s="1198" t="s">
        <v>2104</v>
      </c>
      <c r="AB43" s="1198" t="s">
        <v>2104</v>
      </c>
      <c r="AC43" s="1198" t="s">
        <v>2104</v>
      </c>
      <c r="AD43" s="1198"/>
    </row>
    <row r="44" customFormat="false" ht="27" hidden="false" customHeight="true" outlineLevel="0" collapsed="false">
      <c r="A44" s="1216"/>
      <c r="B44" s="1219" t="n">
        <v>27</v>
      </c>
      <c r="C44" s="1214" t="s">
        <v>2105</v>
      </c>
      <c r="D44" s="1227"/>
      <c r="E44" s="1214"/>
      <c r="F44" s="1214"/>
      <c r="G44" s="1214"/>
      <c r="H44" s="1232"/>
      <c r="I44" s="1229" t="str">
        <f aca="false">INDEX(TEMPLATE_NUMBER_POINT_FHD,B44,MATCH(TEMPLATE_SPHERE,TEMPLATE_SPHERE_LIST_FOR_NOTE,0))</f>
        <v>2.9.1</v>
      </c>
      <c r="J44" s="1229" t="str">
        <f aca="false">INDEX(TEMPLATE_DATA_POINT_FHD,B44,MATCH(TEMPLATE_SPHERE,TEMPLATE_SPHERE_LIST_FOR_NOTE,0))</f>
        <v>Расходы на текущий ремонт</v>
      </c>
      <c r="K44" s="1229" t="str">
        <f aca="false">INDEX(TEMPLATE_NOTE_POINT_FHD,B44,MATCH(TEMPLATE_SPHERE,TEMPLATE_SPHERE_LIST_FOR_NOTE,0))</f>
        <v>Указываются расходы на текущий ремонт, отнесенные к общехозяйственным расходам.</v>
      </c>
      <c r="L44" s="1217" t="str">
        <f aca="false">IF(I44=0,"",I44)</f>
        <v>2.9.1</v>
      </c>
      <c r="M44" s="1217" t="str">
        <f aca="false">IF(J44=0,"",J44)</f>
        <v>Расходы на текущий ремонт</v>
      </c>
      <c r="N44" s="1217" t="str">
        <f aca="false">IF(K44=0,"",K44)</f>
        <v>Указываются расходы на текущий ремонт, отнесенные к общехозяйственным расходам.</v>
      </c>
      <c r="O44" s="1230" t="s">
        <v>2106</v>
      </c>
      <c r="P44" s="1230" t="s">
        <v>2107</v>
      </c>
      <c r="Q44" s="1230" t="s">
        <v>2106</v>
      </c>
      <c r="R44" s="1230" t="s">
        <v>2107</v>
      </c>
      <c r="S44" s="1230"/>
      <c r="T44" s="1214" t="s">
        <v>2096</v>
      </c>
      <c r="U44" s="1214" t="s">
        <v>2096</v>
      </c>
      <c r="V44" s="1214" t="s">
        <v>2096</v>
      </c>
      <c r="W44" s="1214" t="s">
        <v>2096</v>
      </c>
      <c r="X44" s="1214"/>
      <c r="Y44" s="1218"/>
      <c r="Z44" s="1198" t="s">
        <v>2108</v>
      </c>
      <c r="AA44" s="1198" t="s">
        <v>2108</v>
      </c>
      <c r="AB44" s="1198" t="s">
        <v>2108</v>
      </c>
      <c r="AC44" s="1198" t="s">
        <v>2108</v>
      </c>
      <c r="AD44" s="1198"/>
    </row>
    <row r="45" customFormat="false" ht="27" hidden="false" customHeight="true" outlineLevel="0" collapsed="false">
      <c r="A45" s="1216"/>
      <c r="B45" s="1219" t="n">
        <v>28</v>
      </c>
      <c r="C45" s="1214" t="s">
        <v>2109</v>
      </c>
      <c r="D45" s="1227"/>
      <c r="E45" s="1214"/>
      <c r="F45" s="1214"/>
      <c r="G45" s="1214"/>
      <c r="H45" s="1232"/>
      <c r="I45" s="1229" t="str">
        <f aca="false">INDEX(TEMPLATE_NUMBER_POINT_FHD,B45,MATCH(TEMPLATE_SPHERE,TEMPLATE_SPHERE_LIST_FOR_NOTE,0))</f>
        <v>2.9.2</v>
      </c>
      <c r="J45" s="1229" t="str">
        <f aca="false">INDEX(TEMPLATE_DATA_POINT_FHD,B45,MATCH(TEMPLATE_SPHERE,TEMPLATE_SPHERE_LIST_FOR_NOTE,0))</f>
        <v>Расходы на капитальный ремонт</v>
      </c>
      <c r="K45" s="1229" t="str">
        <f aca="false">INDEX(TEMPLATE_NOTE_POINT_FHD,B45,MATCH(TEMPLATE_SPHERE,TEMPLATE_SPHERE_LIST_FOR_NOTE,0))</f>
        <v>Указываются расходы на капитальный ремонт, отнесенные к общехозяйственным расходам.</v>
      </c>
      <c r="L45" s="1217" t="str">
        <f aca="false">IF(I45=0,"",I45)</f>
        <v>2.9.2</v>
      </c>
      <c r="M45" s="1217" t="str">
        <f aca="false">IF(J45=0,"",J45)</f>
        <v>Расходы на капитальный ремонт</v>
      </c>
      <c r="N45" s="1217" t="str">
        <f aca="false">IF(K45=0,"",K45)</f>
        <v>Указываются расходы на капитальный ремонт, отнесенные к общехозяйственным расходам.</v>
      </c>
      <c r="O45" s="1230" t="s">
        <v>2110</v>
      </c>
      <c r="P45" s="1230" t="s">
        <v>2111</v>
      </c>
      <c r="Q45" s="1230" t="s">
        <v>2110</v>
      </c>
      <c r="R45" s="1230" t="s">
        <v>2111</v>
      </c>
      <c r="S45" s="1230"/>
      <c r="T45" s="1214" t="s">
        <v>2100</v>
      </c>
      <c r="U45" s="1214" t="s">
        <v>2100</v>
      </c>
      <c r="V45" s="1214" t="s">
        <v>2100</v>
      </c>
      <c r="W45" s="1214" t="s">
        <v>2100</v>
      </c>
      <c r="X45" s="1214"/>
      <c r="Y45" s="1218"/>
      <c r="Z45" s="1198" t="s">
        <v>2112</v>
      </c>
      <c r="AA45" s="1198" t="s">
        <v>2112</v>
      </c>
      <c r="AB45" s="1198" t="s">
        <v>2112</v>
      </c>
      <c r="AC45" s="1198" t="s">
        <v>2112</v>
      </c>
      <c r="AD45" s="1198"/>
    </row>
    <row r="46" customFormat="false" ht="54" hidden="false" customHeight="true" outlineLevel="0" collapsed="false">
      <c r="A46" s="1216"/>
      <c r="B46" s="1219" t="n">
        <v>29</v>
      </c>
      <c r="C46" s="1214" t="n">
        <v>15</v>
      </c>
      <c r="D46" s="1227"/>
      <c r="E46" s="1214"/>
      <c r="F46" s="1214"/>
      <c r="G46" s="1214"/>
      <c r="H46" s="1232"/>
      <c r="I46" s="1229" t="str">
        <f aca="false">INDEX(TEMPLATE_NUMBER_POINT_FHD,B46,MATCH(TEMPLATE_SPHERE,TEMPLATE_SPHERE_LIST_FOR_NOTE,0))</f>
        <v>2.10</v>
      </c>
      <c r="J46" s="1229" t="str">
        <f aca="false">INDEX(TEMPLATE_DATA_POINT_FHD,B46,MATCH(TEMPLATE_SPHERE,TEMPLATE_SPHERE_LIST_FOR_NOTE,0))</f>
        <v>Расходы на капитальный и текущий ремонт основных средств</v>
      </c>
      <c r="K46" s="1229" t="str">
        <f aca="false">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17" t="str">
        <f aca="false">IF(I46=0,"",I46)</f>
        <v>2.10</v>
      </c>
      <c r="M46" s="1217" t="str">
        <f aca="false">IF(J46=0,"",J46)</f>
        <v>Расходы на капитальный и текущий ремонт основных средств</v>
      </c>
      <c r="N46" s="1217" t="str">
        <f aca="false">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30" t="s">
        <v>2113</v>
      </c>
      <c r="P46" s="1230" t="s">
        <v>2091</v>
      </c>
      <c r="Q46" s="1230" t="s">
        <v>2113</v>
      </c>
      <c r="R46" s="1230" t="s">
        <v>2091</v>
      </c>
      <c r="S46" s="1230"/>
      <c r="T46" s="1217" t="str">
        <f aca="false">"Расходы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214" t="s">
        <v>2114</v>
      </c>
      <c r="V46" s="1214" t="s">
        <v>2114</v>
      </c>
      <c r="W46" s="1214" t="s">
        <v>2114</v>
      </c>
      <c r="X46" s="1214"/>
      <c r="Y46" s="1218"/>
      <c r="Z46" s="1198" t="s">
        <v>2115</v>
      </c>
      <c r="AA46" s="1198" t="s">
        <v>2116</v>
      </c>
      <c r="AB46" s="1198" t="s">
        <v>2116</v>
      </c>
      <c r="AC46" s="1198" t="s">
        <v>2116</v>
      </c>
      <c r="AD46" s="1198"/>
    </row>
    <row r="47" customFormat="false" ht="54" hidden="false" customHeight="true" outlineLevel="0" collapsed="false">
      <c r="A47" s="1216"/>
      <c r="B47" s="1219" t="n">
        <v>30</v>
      </c>
      <c r="C47" s="1214" t="s">
        <v>2117</v>
      </c>
      <c r="D47" s="1227"/>
      <c r="E47" s="1214"/>
      <c r="F47" s="1214"/>
      <c r="G47" s="1214"/>
      <c r="H47" s="1232"/>
      <c r="I47" s="1229" t="str">
        <f aca="false">INDEX(TEMPLATE_NUMBER_POINT_FHD,B47,MATCH(TEMPLATE_SPHERE,TEMPLATE_SPHERE_LIST_FOR_NOTE,0))</f>
        <v>2.10.1</v>
      </c>
      <c r="J47" s="1229" t="str">
        <f aca="false">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29" t="n">
        <f aca="false">INDEX(TEMPLATE_NOTE_POINT_FHD,B47,MATCH(TEMPLATE_SPHERE,TEMPLATE_SPHERE_LIST_FOR_NOTE,0))</f>
        <v>0</v>
      </c>
      <c r="L47" s="1217" t="str">
        <f aca="false">IF(I47=0,"",I47)</f>
        <v>2.10.1</v>
      </c>
      <c r="M47" s="1217" t="str">
        <f aca="false">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17" t="str">
        <f aca="false">IF(K47=0,"",K47)</f>
        <v/>
      </c>
      <c r="O47" s="1230" t="s">
        <v>2118</v>
      </c>
      <c r="P47" s="1230" t="s">
        <v>2095</v>
      </c>
      <c r="Q47" s="1230" t="s">
        <v>2118</v>
      </c>
      <c r="R47" s="1230" t="s">
        <v>2095</v>
      </c>
      <c r="S47" s="1230"/>
      <c r="T47" s="1214" t="s">
        <v>2119</v>
      </c>
      <c r="U47" s="1214" t="s">
        <v>2119</v>
      </c>
      <c r="V47" s="1214" t="s">
        <v>2119</v>
      </c>
      <c r="W47" s="1214" t="s">
        <v>2119</v>
      </c>
      <c r="X47" s="1214"/>
      <c r="Y47" s="1218"/>
      <c r="Z47" s="1198"/>
      <c r="AA47" s="1205"/>
      <c r="AB47" s="1205"/>
      <c r="AC47" s="1205"/>
      <c r="AD47" s="1198"/>
    </row>
    <row r="48" customFormat="false" ht="54" hidden="false" customHeight="true" outlineLevel="0" collapsed="false">
      <c r="A48" s="1216"/>
      <c r="B48" s="1219" t="n">
        <v>31</v>
      </c>
      <c r="C48" s="1214" t="n">
        <v>16</v>
      </c>
      <c r="D48" s="1227"/>
      <c r="E48" s="1214"/>
      <c r="F48" s="1214"/>
      <c r="G48" s="1214"/>
      <c r="H48" s="1232"/>
      <c r="I48" s="1229" t="str">
        <f aca="false">INDEX(TEMPLATE_NUMBER_POINT_FHD,B48,MATCH(TEMPLATE_SPHERE,TEMPLATE_SPHERE_LIST_FOR_NOTE,0))</f>
        <v>2.11</v>
      </c>
      <c r="J48" s="1229" t="str">
        <f aca="false">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29" t="str">
        <f aca="false">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217" t="str">
        <f aca="false">IF(I48=0,"",I48)</f>
        <v>2.11</v>
      </c>
      <c r="M48" s="1217" t="str">
        <f aca="false">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217" t="str">
        <f aca="false">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30"/>
      <c r="P48" s="1230" t="s">
        <v>2102</v>
      </c>
      <c r="Q48" s="1230" t="s">
        <v>2120</v>
      </c>
      <c r="R48" s="1230" t="s">
        <v>2102</v>
      </c>
      <c r="S48" s="1230"/>
      <c r="T48" s="1214"/>
      <c r="U48" s="1214" t="s">
        <v>2121</v>
      </c>
      <c r="V48" s="1214" t="s">
        <v>2122</v>
      </c>
      <c r="W48" s="1214" t="s">
        <v>2122</v>
      </c>
      <c r="X48" s="1214"/>
      <c r="Y48" s="1218"/>
      <c r="Z48" s="1198"/>
      <c r="AA48" s="1205" t="s">
        <v>2116</v>
      </c>
      <c r="AB48" s="1205" t="s">
        <v>2116</v>
      </c>
      <c r="AC48" s="1205" t="s">
        <v>2116</v>
      </c>
      <c r="AD48" s="1198"/>
    </row>
    <row r="49" customFormat="false" ht="54" hidden="false" customHeight="true" outlineLevel="0" collapsed="false">
      <c r="A49" s="1216"/>
      <c r="B49" s="1219" t="n">
        <v>32</v>
      </c>
      <c r="C49" s="1214" t="s">
        <v>2123</v>
      </c>
      <c r="D49" s="1227"/>
      <c r="E49" s="1214"/>
      <c r="F49" s="1214"/>
      <c r="G49" s="1214"/>
      <c r="H49" s="1232"/>
      <c r="I49" s="1229" t="str">
        <f aca="false">INDEX(TEMPLATE_NUMBER_POINT_FHD,B49,MATCH(TEMPLATE_SPHERE,TEMPLATE_SPHERE_LIST_FOR_NOTE,0))</f>
        <v>2.11.1</v>
      </c>
      <c r="J49" s="1229" t="str">
        <f aca="false">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29" t="n">
        <f aca="false">INDEX(TEMPLATE_NOTE_POINT_FHD,B49,MATCH(TEMPLATE_SPHERE,TEMPLATE_SPHERE_LIST_FOR_NOTE,0))</f>
        <v>0</v>
      </c>
      <c r="L49" s="1217" t="str">
        <f aca="false">IF(I49=0,"",I49)</f>
        <v>2.11.1</v>
      </c>
      <c r="M49" s="1217" t="str">
        <f aca="false">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217" t="str">
        <f aca="false">IF(K49=0,"",K49)</f>
        <v/>
      </c>
      <c r="O49" s="1230"/>
      <c r="P49" s="1230" t="s">
        <v>2106</v>
      </c>
      <c r="Q49" s="1230" t="s">
        <v>2124</v>
      </c>
      <c r="R49" s="1230" t="s">
        <v>2106</v>
      </c>
      <c r="S49" s="1230"/>
      <c r="T49" s="1214"/>
      <c r="U49" s="1214" t="s">
        <v>2119</v>
      </c>
      <c r="V49" s="1214" t="s">
        <v>2119</v>
      </c>
      <c r="W49" s="1214" t="s">
        <v>2119</v>
      </c>
      <c r="X49" s="1214"/>
      <c r="Y49" s="1218"/>
      <c r="Z49" s="1198"/>
      <c r="AA49" s="1205"/>
      <c r="AB49" s="1205"/>
      <c r="AC49" s="1205"/>
      <c r="AD49" s="1198"/>
    </row>
    <row r="50" customFormat="false" ht="126" hidden="false" customHeight="true" outlineLevel="0" collapsed="false">
      <c r="A50" s="1216"/>
      <c r="B50" s="1219" t="n">
        <v>33</v>
      </c>
      <c r="C50" s="1214" t="n">
        <v>17</v>
      </c>
      <c r="D50" s="1227"/>
      <c r="E50" s="1214"/>
      <c r="F50" s="1214"/>
      <c r="G50" s="1214"/>
      <c r="H50" s="1232"/>
      <c r="I50" s="1229" t="str">
        <f aca="false">INDEX(TEMPLATE_NUMBER_POINT_FHD,B50,MATCH(TEMPLATE_SPHERE,TEMPLATE_SPHERE_LIST_FOR_NOTE,0))</f>
        <v>2.12</v>
      </c>
      <c r="J50" s="1229" t="str">
        <f aca="false">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229" t="str">
        <f aca="false">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217" t="str">
        <f aca="false">IF(I50=0,"",I50)</f>
        <v>2.12</v>
      </c>
      <c r="M50" s="1217" t="str">
        <f aca="false">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217" t="str">
        <f aca="false">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30" t="s">
        <v>2120</v>
      </c>
      <c r="P50" s="1230" t="s">
        <v>2113</v>
      </c>
      <c r="Q50" s="1230" t="s">
        <v>2125</v>
      </c>
      <c r="R50" s="1230" t="s">
        <v>2113</v>
      </c>
      <c r="S50" s="1230"/>
      <c r="T50" s="1214" t="s">
        <v>2126</v>
      </c>
      <c r="U50" s="1214" t="s">
        <v>2127</v>
      </c>
      <c r="V50" s="1214" t="s">
        <v>2128</v>
      </c>
      <c r="W50" s="1214" t="s">
        <v>2129</v>
      </c>
      <c r="X50" s="1214"/>
      <c r="Y50" s="1218"/>
      <c r="Z50" s="1198" t="s">
        <v>2130</v>
      </c>
      <c r="AA50" s="1205" t="s">
        <v>2131</v>
      </c>
      <c r="AB50" s="1205" t="s">
        <v>2131</v>
      </c>
      <c r="AC50" s="1205" t="s">
        <v>2131</v>
      </c>
      <c r="AD50" s="1198"/>
    </row>
    <row r="51" customFormat="false" ht="27" hidden="false" customHeight="true" outlineLevel="0" collapsed="false">
      <c r="A51" s="1216"/>
      <c r="B51" s="1219" t="n">
        <v>34</v>
      </c>
      <c r="C51" s="1214" t="s">
        <v>2132</v>
      </c>
      <c r="D51" s="1227"/>
      <c r="E51" s="1214"/>
      <c r="F51" s="1214"/>
      <c r="G51" s="1214"/>
      <c r="H51" s="1232"/>
      <c r="I51" s="1229" t="n">
        <f aca="false">INDEX(TEMPLATE_NUMBER_POINT_FHD,B51,MATCH(TEMPLATE_SPHERE,TEMPLATE_SPHERE_LIST_FOR_NOTE,0))</f>
        <v>0</v>
      </c>
      <c r="J51" s="1229" t="n">
        <f aca="false">INDEX(TEMPLATE_DATA_POINT_FHD,B51,MATCH(TEMPLATE_SPHERE,TEMPLATE_SPHERE_LIST_FOR_NOTE,0))</f>
        <v>0</v>
      </c>
      <c r="K51" s="1229" t="n">
        <f aca="false">INDEX(TEMPLATE_NOTE_POINT_FHD,B51,MATCH(TEMPLATE_SPHERE,TEMPLATE_SPHERE_LIST_FOR_NOTE,0))</f>
        <v>0</v>
      </c>
      <c r="L51" s="1217" t="str">
        <f aca="false">IF(I51=0,"",I51)</f>
        <v/>
      </c>
      <c r="M51" s="1217" t="str">
        <f aca="false">IF(J51=0,"",J51)</f>
        <v/>
      </c>
      <c r="N51" s="1217" t="str">
        <f aca="false">IF(K51=0,"",K51)</f>
        <v/>
      </c>
      <c r="O51" s="1230" t="s">
        <v>88</v>
      </c>
      <c r="P51" s="1230"/>
      <c r="Q51" s="1230"/>
      <c r="R51" s="1230"/>
      <c r="S51" s="1230"/>
      <c r="T51" s="1214" t="s">
        <v>2133</v>
      </c>
      <c r="U51" s="1214"/>
      <c r="V51" s="1214"/>
      <c r="W51" s="1214"/>
      <c r="X51" s="1214"/>
      <c r="Y51" s="1218"/>
      <c r="Z51" s="1198"/>
      <c r="AA51" s="1205"/>
      <c r="AB51" s="1205"/>
      <c r="AC51" s="1205"/>
      <c r="AD51" s="1198"/>
    </row>
    <row r="52" customFormat="false" ht="36" hidden="false" customHeight="true" outlineLevel="0" collapsed="false">
      <c r="A52" s="1216"/>
      <c r="B52" s="1219" t="n">
        <v>35</v>
      </c>
      <c r="C52" s="1214" t="s">
        <v>2026</v>
      </c>
      <c r="D52" s="1227" t="s">
        <v>2026</v>
      </c>
      <c r="E52" s="1214" t="s">
        <v>2026</v>
      </c>
      <c r="F52" s="1214" t="s">
        <v>2026</v>
      </c>
      <c r="G52" s="1214"/>
      <c r="H52" s="1232"/>
      <c r="I52" s="1229" t="str">
        <f aca="false">INDEX(TEMPLATE_NUMBER_POINT_FHD,B52,MATCH(TEMPLATE_SPHERE,TEMPLATE_SPHERE_LIST_FOR_NOTE,0))</f>
        <v>3</v>
      </c>
      <c r="J52" s="1229" t="str">
        <f aca="false">INDEX(TEMPLATE_DATA_POINT_FHD,B52,MATCH(TEMPLATE_SPHERE,TEMPLATE_SPHERE_LIST_FOR_NOTE,0))</f>
        <v>Чистая прибыль, полученная от регулируемого вида деятельности в сфере водоотведения, в том числе:</v>
      </c>
      <c r="K52" s="1229" t="str">
        <f aca="false">INDEX(TEMPLATE_NOTE_POINT_FHD,B52,MATCH(TEMPLATE_SPHERE,TEMPLATE_SPHERE_LIST_FOR_NOTE,0))</f>
        <v>Указывается общая сумма чистой прибыли, полученной от регулируемого вида деятельности.</v>
      </c>
      <c r="L52" s="1217" t="str">
        <f aca="false">IF(I52=0,"",I52)</f>
        <v>3</v>
      </c>
      <c r="M52" s="1217" t="str">
        <f aca="false">IF(J52=0,"",J52)</f>
        <v>Чистая прибыль, полученная от регулируемого вида деятельности в сфере водоотведения, в том числе:</v>
      </c>
      <c r="N52" s="1217" t="str">
        <f aca="false">IF(K52=0,"",K52)</f>
        <v>Указывается общая сумма чистой прибыли, полученной от регулируемого вида деятельности.</v>
      </c>
      <c r="O52" s="1230" t="s">
        <v>89</v>
      </c>
      <c r="P52" s="1230" t="s">
        <v>88</v>
      </c>
      <c r="Q52" s="1230" t="s">
        <v>88</v>
      </c>
      <c r="R52" s="1230" t="s">
        <v>88</v>
      </c>
      <c r="S52" s="1230"/>
      <c r="T52" s="1214" t="s">
        <v>2134</v>
      </c>
      <c r="U52" s="1214" t="s">
        <v>2135</v>
      </c>
      <c r="V52" s="1214" t="s">
        <v>2136</v>
      </c>
      <c r="W52" s="1214" t="s">
        <v>2137</v>
      </c>
      <c r="X52" s="1214"/>
      <c r="Y52" s="1218"/>
      <c r="Z52" s="1198" t="s">
        <v>747</v>
      </c>
      <c r="AA52" s="1205" t="s">
        <v>747</v>
      </c>
      <c r="AB52" s="1205" t="s">
        <v>747</v>
      </c>
      <c r="AC52" s="1205" t="s">
        <v>747</v>
      </c>
      <c r="AD52" s="1198"/>
    </row>
    <row r="53" customFormat="false" ht="36" hidden="false" customHeight="true" outlineLevel="0" collapsed="false">
      <c r="A53" s="1216"/>
      <c r="B53" s="1219" t="n">
        <v>36</v>
      </c>
      <c r="C53" s="1214" t="n">
        <v>1</v>
      </c>
      <c r="D53" s="1227"/>
      <c r="E53" s="1214"/>
      <c r="F53" s="1214"/>
      <c r="G53" s="1214"/>
      <c r="H53" s="1232"/>
      <c r="I53" s="1229" t="str">
        <f aca="false">INDEX(TEMPLATE_NUMBER_POINT_FHD,B53,MATCH(TEMPLATE_SPHERE,TEMPLATE_SPHERE_LIST_FOR_NOTE,0))</f>
        <v>3.1</v>
      </c>
      <c r="J53" s="1229" t="str">
        <f aca="false">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29" t="n">
        <f aca="false">INDEX(TEMPLATE_NOTE_POINT_FHD,B53,MATCH(TEMPLATE_SPHERE,TEMPLATE_SPHERE_LIST_FOR_NOTE,0))</f>
        <v>0</v>
      </c>
      <c r="L53" s="1217" t="str">
        <f aca="false">IF(I53=0,"",I53)</f>
        <v>3.1</v>
      </c>
      <c r="M53" s="1217" t="str">
        <f aca="false">IF(J53=0,"",J53)</f>
        <v>Размер расходования чистой прибыли на финансирование мероприятий, предусмотренных инвестиционной программой регулируемой организации</v>
      </c>
      <c r="N53" s="1217" t="str">
        <f aca="false">IF(K53=0,"",K53)</f>
        <v/>
      </c>
      <c r="O53" s="1230" t="s">
        <v>751</v>
      </c>
      <c r="P53" s="1230" t="s">
        <v>321</v>
      </c>
      <c r="Q53" s="1230" t="s">
        <v>321</v>
      </c>
      <c r="R53" s="1230" t="s">
        <v>321</v>
      </c>
      <c r="S53" s="1230"/>
      <c r="T53" s="1214" t="s">
        <v>2138</v>
      </c>
      <c r="U53" s="1214" t="s">
        <v>2138</v>
      </c>
      <c r="V53" s="1214" t="s">
        <v>2138</v>
      </c>
      <c r="W53" s="1214" t="s">
        <v>2138</v>
      </c>
      <c r="X53" s="1214"/>
      <c r="Y53" s="1218"/>
      <c r="Z53" s="1198"/>
      <c r="AA53" s="1205"/>
      <c r="AB53" s="1198"/>
      <c r="AC53" s="1198"/>
      <c r="AD53" s="1198"/>
    </row>
    <row r="54" customFormat="false" ht="18" hidden="false" customHeight="true" outlineLevel="0" collapsed="false">
      <c r="A54" s="1216"/>
      <c r="B54" s="1219" t="n">
        <v>37</v>
      </c>
      <c r="C54" s="1214" t="s">
        <v>2032</v>
      </c>
      <c r="D54" s="1227" t="s">
        <v>2032</v>
      </c>
      <c r="E54" s="1214" t="s">
        <v>2032</v>
      </c>
      <c r="F54" s="1214" t="s">
        <v>2032</v>
      </c>
      <c r="G54" s="1214"/>
      <c r="H54" s="1232"/>
      <c r="I54" s="1229" t="str">
        <f aca="false">INDEX(TEMPLATE_NUMBER_POINT_FHD,B54,MATCH(TEMPLATE_SPHERE,TEMPLATE_SPHERE_LIST_FOR_NOTE,0))</f>
        <v>4</v>
      </c>
      <c r="J54" s="1229" t="str">
        <f aca="false">INDEX(TEMPLATE_DATA_POINT_FHD,B54,MATCH(TEMPLATE_SPHERE,TEMPLATE_SPHERE_LIST_FOR_NOTE,0))</f>
        <v>Изменение стоимости основных фондов, в том числе:</v>
      </c>
      <c r="K54" s="1229" t="str">
        <f aca="false">INDEX(TEMPLATE_NOTE_POINT_FHD,B54,MATCH(TEMPLATE_SPHERE,TEMPLATE_SPHERE_LIST_FOR_NOTE,0))</f>
        <v>Указывается общее изменение стоимости основных фондов.</v>
      </c>
      <c r="L54" s="1217" t="str">
        <f aca="false">IF(I54=0,"",I54)</f>
        <v>4</v>
      </c>
      <c r="M54" s="1217" t="str">
        <f aca="false">IF(J54=0,"",J54)</f>
        <v>Изменение стоимости основных фондов, в том числе:</v>
      </c>
      <c r="N54" s="1217" t="str">
        <f aca="false">IF(K54=0,"",K54)</f>
        <v>Указывается общее изменение стоимости основных фондов.</v>
      </c>
      <c r="O54" s="1230" t="s">
        <v>109</v>
      </c>
      <c r="P54" s="1230" t="s">
        <v>89</v>
      </c>
      <c r="Q54" s="1230" t="s">
        <v>89</v>
      </c>
      <c r="R54" s="1230" t="s">
        <v>89</v>
      </c>
      <c r="S54" s="1230"/>
      <c r="T54" s="1214" t="s">
        <v>749</v>
      </c>
      <c r="U54" s="1214" t="s">
        <v>749</v>
      </c>
      <c r="V54" s="1214" t="s">
        <v>749</v>
      </c>
      <c r="W54" s="1214" t="s">
        <v>749</v>
      </c>
      <c r="X54" s="1214"/>
      <c r="Y54" s="1218"/>
      <c r="Z54" s="1198" t="s">
        <v>750</v>
      </c>
      <c r="AA54" s="1198" t="s">
        <v>750</v>
      </c>
      <c r="AB54" s="1198" t="s">
        <v>750</v>
      </c>
      <c r="AC54" s="1198" t="s">
        <v>750</v>
      </c>
      <c r="AD54" s="1198"/>
    </row>
    <row r="55" customFormat="false" ht="36" hidden="false" customHeight="true" outlineLevel="0" collapsed="false">
      <c r="A55" s="1216"/>
      <c r="B55" s="1219" t="n">
        <v>38</v>
      </c>
      <c r="C55" s="1214" t="n">
        <v>1</v>
      </c>
      <c r="D55" s="1227"/>
      <c r="E55" s="1214"/>
      <c r="F55" s="1214"/>
      <c r="G55" s="1214"/>
      <c r="H55" s="1232"/>
      <c r="I55" s="1229" t="str">
        <f aca="false">INDEX(TEMPLATE_NUMBER_POINT_FHD,B55,MATCH(TEMPLATE_SPHERE,TEMPLATE_SPHERE_LIST_FOR_NOTE,0))</f>
        <v>4.1</v>
      </c>
      <c r="J55" s="1229" t="str">
        <f aca="false">INDEX(TEMPLATE_DATA_POINT_FHD,B55,MATCH(TEMPLATE_SPHERE,TEMPLATE_SPHERE_LIST_FOR_NOTE,0))</f>
        <v>Изменение стоимости основных фондов за счет их ввода в эксплуатацию (вывода из эксплуатации)</v>
      </c>
      <c r="K55" s="1229" t="str">
        <f aca="false">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17" t="str">
        <f aca="false">IF(I55=0,"",I55)</f>
        <v>4.1</v>
      </c>
      <c r="M55" s="1217" t="str">
        <f aca="false">IF(J55=0,"",J55)</f>
        <v>Изменение стоимости основных фондов за счет их ввода в эксплуатацию (вывода из эксплуатации)</v>
      </c>
      <c r="N55" s="1217" t="str">
        <f aca="false">IF(K55=0,"",K55)</f>
        <v>Указываются общее изменение стоимости основных фондов за счет их ввода в эксплуатацию и вывода из эксплуатации.</v>
      </c>
      <c r="O55" s="1230" t="s">
        <v>310</v>
      </c>
      <c r="P55" s="1230" t="s">
        <v>751</v>
      </c>
      <c r="Q55" s="1230" t="s">
        <v>751</v>
      </c>
      <c r="R55" s="1230" t="s">
        <v>751</v>
      </c>
      <c r="S55" s="1230"/>
      <c r="T55" s="1217" t="str">
        <f aca="false">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214" t="s">
        <v>2139</v>
      </c>
      <c r="V55" s="1214" t="s">
        <v>2139</v>
      </c>
      <c r="W55" s="1214" t="s">
        <v>2139</v>
      </c>
      <c r="X55" s="1214"/>
      <c r="Y55" s="1218"/>
      <c r="Z55" s="1198" t="s">
        <v>2140</v>
      </c>
      <c r="AA55" s="1198" t="s">
        <v>2140</v>
      </c>
      <c r="AB55" s="1198" t="s">
        <v>2140</v>
      </c>
      <c r="AC55" s="1198" t="s">
        <v>2140</v>
      </c>
      <c r="AD55" s="1198"/>
    </row>
    <row r="56" customFormat="false" ht="27" hidden="false" customHeight="true" outlineLevel="0" collapsed="false">
      <c r="A56" s="1216"/>
      <c r="B56" s="1219" t="n">
        <v>39</v>
      </c>
      <c r="C56" s="1214" t="s">
        <v>1019</v>
      </c>
      <c r="D56" s="1227"/>
      <c r="E56" s="1214"/>
      <c r="F56" s="1214"/>
      <c r="G56" s="1214"/>
      <c r="H56" s="1232"/>
      <c r="I56" s="1229" t="str">
        <f aca="false">INDEX(TEMPLATE_NUMBER_POINT_FHD,B56,MATCH(TEMPLATE_SPHERE,TEMPLATE_SPHERE_LIST_FOR_NOTE,0))</f>
        <v>4.1.1</v>
      </c>
      <c r="J56" s="1229" t="str">
        <f aca="false">INDEX(TEMPLATE_DATA_POINT_FHD,B56,MATCH(TEMPLATE_SPHERE,TEMPLATE_SPHERE_LIST_FOR_NOTE,0))</f>
        <v>Изменение стоимости основных фондов за счет их ввода в эксплуатацию</v>
      </c>
      <c r="K56" s="1229" t="str">
        <f aca="false">INDEX(TEMPLATE_NOTE_POINT_FHD,B56,MATCH(TEMPLATE_SPHERE,TEMPLATE_SPHERE_LIST_FOR_NOTE,0))</f>
        <v>Указываются изменение стоимости основных фондов за счет их ввода в эксплуатацию.</v>
      </c>
      <c r="L56" s="1217" t="str">
        <f aca="false">IF(I56=0,"",I56)</f>
        <v>4.1.1</v>
      </c>
      <c r="M56" s="1217" t="str">
        <f aca="false">IF(J56=0,"",J56)</f>
        <v>Изменение стоимости основных фондов за счет их ввода в эксплуатацию</v>
      </c>
      <c r="N56" s="1217" t="str">
        <f aca="false">IF(K56=0,"",K56)</f>
        <v>Указываются изменение стоимости основных фондов за счет их ввода в эксплуатацию.</v>
      </c>
      <c r="O56" s="1230" t="s">
        <v>1137</v>
      </c>
      <c r="P56" s="1230" t="s">
        <v>754</v>
      </c>
      <c r="Q56" s="1230" t="s">
        <v>754</v>
      </c>
      <c r="R56" s="1230" t="s">
        <v>754</v>
      </c>
      <c r="S56" s="1230"/>
      <c r="T56" s="1217" t="str">
        <f aca="false">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214" t="s">
        <v>2141</v>
      </c>
      <c r="V56" s="1214" t="s">
        <v>2141</v>
      </c>
      <c r="W56" s="1214" t="s">
        <v>2141</v>
      </c>
      <c r="X56" s="1214"/>
      <c r="Y56" s="1218"/>
      <c r="Z56" s="1198" t="s">
        <v>756</v>
      </c>
      <c r="AA56" s="1198" t="s">
        <v>756</v>
      </c>
      <c r="AB56" s="1198" t="s">
        <v>756</v>
      </c>
      <c r="AC56" s="1198" t="s">
        <v>756</v>
      </c>
      <c r="AD56" s="1198"/>
    </row>
    <row r="57" customFormat="false" ht="27" hidden="false" customHeight="true" outlineLevel="0" collapsed="false">
      <c r="A57" s="1216"/>
      <c r="B57" s="1219" t="n">
        <v>40</v>
      </c>
      <c r="C57" s="1214" t="s">
        <v>1021</v>
      </c>
      <c r="D57" s="1227"/>
      <c r="E57" s="1214"/>
      <c r="F57" s="1214"/>
      <c r="G57" s="1214"/>
      <c r="H57" s="1232"/>
      <c r="I57" s="1229" t="str">
        <f aca="false">INDEX(TEMPLATE_NUMBER_POINT_FHD,B57,MATCH(TEMPLATE_SPHERE,TEMPLATE_SPHERE_LIST_FOR_NOTE,0))</f>
        <v>4.1.2</v>
      </c>
      <c r="J57" s="1229" t="str">
        <f aca="false">INDEX(TEMPLATE_DATA_POINT_FHD,B57,MATCH(TEMPLATE_SPHERE,TEMPLATE_SPHERE_LIST_FOR_NOTE,0))</f>
        <v>Изменение стоимости основных фондов за счет их вывода в эксплуатацию</v>
      </c>
      <c r="K57" s="1229" t="str">
        <f aca="false">INDEX(TEMPLATE_NOTE_POINT_FHD,B57,MATCH(TEMPLATE_SPHERE,TEMPLATE_SPHERE_LIST_FOR_NOTE,0))</f>
        <v>Указываются изменение стоимости основных фондов за счет их вывода из эксплуатации.</v>
      </c>
      <c r="L57" s="1217" t="str">
        <f aca="false">IF(I57=0,"",I57)</f>
        <v>4.1.2</v>
      </c>
      <c r="M57" s="1217" t="str">
        <f aca="false">IF(J57=0,"",J57)</f>
        <v>Изменение стоимости основных фондов за счет их вывода в эксплуатацию</v>
      </c>
      <c r="N57" s="1217" t="str">
        <f aca="false">IF(K57=0,"",K57)</f>
        <v>Указываются изменение стоимости основных фондов за счет их вывода из эксплуатации.</v>
      </c>
      <c r="O57" s="1230" t="s">
        <v>2142</v>
      </c>
      <c r="P57" s="1230" t="s">
        <v>757</v>
      </c>
      <c r="Q57" s="1230" t="s">
        <v>757</v>
      </c>
      <c r="R57" s="1230" t="s">
        <v>757</v>
      </c>
      <c r="S57" s="1230"/>
      <c r="T57" s="1217" t="str">
        <f aca="false">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214" t="s">
        <v>2143</v>
      </c>
      <c r="V57" s="1214" t="s">
        <v>2143</v>
      </c>
      <c r="W57" s="1214" t="s">
        <v>2143</v>
      </c>
      <c r="X57" s="1214"/>
      <c r="Y57" s="1218"/>
      <c r="Z57" s="1198" t="s">
        <v>759</v>
      </c>
      <c r="AA57" s="1198" t="s">
        <v>759</v>
      </c>
      <c r="AB57" s="1198" t="s">
        <v>759</v>
      </c>
      <c r="AC57" s="1198" t="s">
        <v>759</v>
      </c>
      <c r="AD57" s="1198"/>
    </row>
    <row r="58" customFormat="false" ht="18" hidden="false" customHeight="true" outlineLevel="0" collapsed="false">
      <c r="A58" s="1216"/>
      <c r="B58" s="1219" t="n">
        <v>41</v>
      </c>
      <c r="C58" s="1214" t="n">
        <v>2</v>
      </c>
      <c r="D58" s="1227"/>
      <c r="E58" s="1214"/>
      <c r="F58" s="1214"/>
      <c r="G58" s="1214"/>
      <c r="H58" s="1232"/>
      <c r="I58" s="1229" t="str">
        <f aca="false">INDEX(TEMPLATE_NUMBER_POINT_FHD,B58,MATCH(TEMPLATE_SPHERE,TEMPLATE_SPHERE_LIST_FOR_NOTE,0))</f>
        <v>4.2</v>
      </c>
      <c r="J58" s="1229" t="str">
        <f aca="false">INDEX(TEMPLATE_DATA_POINT_FHD,B58,MATCH(TEMPLATE_SPHERE,TEMPLATE_SPHERE_LIST_FOR_NOTE,0))</f>
        <v>Изменение стоимости основных фондов за счет их переоценки</v>
      </c>
      <c r="K58" s="1229" t="n">
        <f aca="false">INDEX(TEMPLATE_NOTE_POINT_FHD,B58,MATCH(TEMPLATE_SPHERE,TEMPLATE_SPHERE_LIST_FOR_NOTE,0))</f>
        <v>0</v>
      </c>
      <c r="L58" s="1217" t="str">
        <f aca="false">IF(I58=0,"",I58)</f>
        <v>4.2</v>
      </c>
      <c r="M58" s="1217" t="str">
        <f aca="false">IF(J58=0,"",J58)</f>
        <v>Изменение стоимости основных фондов за счет их переоценки</v>
      </c>
      <c r="N58" s="1217" t="str">
        <f aca="false">IF(K58=0,"",K58)</f>
        <v/>
      </c>
      <c r="O58" s="1230" t="s">
        <v>879</v>
      </c>
      <c r="P58" s="1230" t="s">
        <v>793</v>
      </c>
      <c r="Q58" s="1230" t="s">
        <v>793</v>
      </c>
      <c r="R58" s="1230" t="s">
        <v>793</v>
      </c>
      <c r="S58" s="1230"/>
      <c r="T58" s="1217" t="str">
        <f aca="false">IF(TITLE_TYPE_ORG="Регулируемая организация","Изменение стоимости основных фондов за счет их переоценки","за счет их переоценки")</f>
        <v>за счет их переоценки</v>
      </c>
      <c r="U58" s="1214" t="s">
        <v>2144</v>
      </c>
      <c r="V58" s="1214" t="s">
        <v>2144</v>
      </c>
      <c r="W58" s="1214" t="s">
        <v>2144</v>
      </c>
      <c r="X58" s="1214"/>
      <c r="Y58" s="1218"/>
      <c r="Z58" s="1198"/>
      <c r="AA58" s="1205"/>
      <c r="AB58" s="1198"/>
      <c r="AC58" s="1198"/>
      <c r="AD58" s="1198"/>
    </row>
    <row r="59" customFormat="false" ht="36" hidden="false" customHeight="true" outlineLevel="0" collapsed="false">
      <c r="A59" s="1216"/>
      <c r="B59" s="1219" t="n">
        <v>42</v>
      </c>
      <c r="C59" s="1214" t="n">
        <v>3</v>
      </c>
      <c r="D59" s="1227" t="s">
        <v>2132</v>
      </c>
      <c r="E59" s="1214" t="s">
        <v>2132</v>
      </c>
      <c r="F59" s="1214" t="s">
        <v>2132</v>
      </c>
      <c r="G59" s="1214"/>
      <c r="H59" s="1232"/>
      <c r="I59" s="1229" t="str">
        <f aca="false">INDEX(TEMPLATE_NUMBER_POINT_FHD,B59,MATCH(TEMPLATE_SPHERE,TEMPLATE_SPHERE_LIST_FOR_NOTE,0))</f>
        <v>5</v>
      </c>
      <c r="J59" s="1229" t="str">
        <f aca="false">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229" t="n">
        <f aca="false">INDEX(TEMPLATE_NOTE_POINT_FHD,B59,MATCH(TEMPLATE_SPHERE,TEMPLATE_SPHERE_LIST_FOR_NOTE,0))</f>
        <v>0</v>
      </c>
      <c r="L59" s="1217" t="str">
        <f aca="false">IF(I59=0,"",I59)</f>
        <v>5</v>
      </c>
      <c r="M59" s="1217" t="str">
        <f aca="false">IF(J59=0,"",J59)</f>
        <v>Валовая прибыль (убытки) от продажи товаров и услуг по регулируемым видам деятельности в сфере водоотведения</v>
      </c>
      <c r="N59" s="1217" t="str">
        <f aca="false">IF(K59=0,"",K59)</f>
        <v/>
      </c>
      <c r="O59" s="1230"/>
      <c r="P59" s="1230" t="s">
        <v>109</v>
      </c>
      <c r="Q59" s="1230" t="s">
        <v>109</v>
      </c>
      <c r="R59" s="1230" t="s">
        <v>109</v>
      </c>
      <c r="S59" s="1230"/>
      <c r="T59" s="1214"/>
      <c r="U59" s="1214" t="s">
        <v>2145</v>
      </c>
      <c r="V59" s="1214" t="s">
        <v>2146</v>
      </c>
      <c r="W59" s="1214" t="s">
        <v>2147</v>
      </c>
      <c r="X59" s="1214"/>
      <c r="Y59" s="1218"/>
      <c r="Z59" s="1198"/>
      <c r="AA59" s="1205"/>
      <c r="AB59" s="1198"/>
      <c r="AC59" s="1198"/>
      <c r="AD59" s="1198"/>
    </row>
    <row r="60" customFormat="false" ht="81" hidden="false" customHeight="true" outlineLevel="0" collapsed="false">
      <c r="A60" s="1216"/>
      <c r="B60" s="1219" t="n">
        <v>43</v>
      </c>
      <c r="C60" s="1214" t="s">
        <v>2148</v>
      </c>
      <c r="D60" s="1227" t="s">
        <v>2148</v>
      </c>
      <c r="E60" s="1214" t="s">
        <v>2148</v>
      </c>
      <c r="F60" s="1214" t="s">
        <v>2148</v>
      </c>
      <c r="G60" s="1214"/>
      <c r="H60" s="1232"/>
      <c r="I60" s="1229" t="str">
        <f aca="false">INDEX(TEMPLATE_NUMBER_POINT_FHD,B60,MATCH(TEMPLATE_SPHERE,TEMPLATE_SPHERE_LIST_FOR_NOTE,0))</f>
        <v>6</v>
      </c>
      <c r="J60" s="1229" t="str">
        <f aca="false">INDEX(TEMPLATE_DATA_POINT_FHD,B60,MATCH(TEMPLATE_SPHERE,TEMPLATE_SPHERE_LIST_FOR_NOTE,0))</f>
        <v>Годовая бухгалтерская (финансовая) отчетность, включая бухгалтерский баланс и приложения к нему</v>
      </c>
      <c r="K60" s="1229" t="str">
        <f aca="false">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217" t="str">
        <f aca="false">IF(I60=0,"",I60)</f>
        <v>6</v>
      </c>
      <c r="M60" s="1217" t="str">
        <f aca="false">IF(J60=0,"",J60)</f>
        <v>Годовая бухгалтерская (финансовая) отчетность, включая бухгалтерский баланс и приложения к нему</v>
      </c>
      <c r="N60" s="1217" t="str">
        <f aca="false">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30" t="s">
        <v>90</v>
      </c>
      <c r="P60" s="1230" t="s">
        <v>90</v>
      </c>
      <c r="Q60" s="1230" t="s">
        <v>90</v>
      </c>
      <c r="R60" s="1230" t="s">
        <v>90</v>
      </c>
      <c r="S60" s="1230"/>
      <c r="T60" s="1214" t="s">
        <v>626</v>
      </c>
      <c r="U60" s="1214" t="s">
        <v>626</v>
      </c>
      <c r="V60" s="1214" t="s">
        <v>626</v>
      </c>
      <c r="W60" s="1214" t="s">
        <v>626</v>
      </c>
      <c r="X60" s="1214"/>
      <c r="Y60" s="1218"/>
      <c r="Z60" s="1198" t="s">
        <v>2149</v>
      </c>
      <c r="AA60" s="1205" t="s">
        <v>2150</v>
      </c>
      <c r="AB60" s="1198" t="s">
        <v>2151</v>
      </c>
      <c r="AC60" s="1198" t="s">
        <v>2150</v>
      </c>
      <c r="AD60" s="1198"/>
    </row>
    <row r="61" customFormat="false" ht="9" hidden="false" customHeight="true" outlineLevel="0" collapsed="false">
      <c r="A61" s="1216"/>
      <c r="B61" s="1219" t="n">
        <v>44</v>
      </c>
      <c r="C61" s="1214"/>
      <c r="D61" s="1227" t="s">
        <v>2152</v>
      </c>
      <c r="E61" s="1214"/>
      <c r="F61" s="1214"/>
      <c r="G61" s="1214"/>
      <c r="H61" s="1232"/>
      <c r="I61" s="1229" t="n">
        <f aca="false">INDEX(TEMPLATE_NUMBER_POINT_FHD,B61,MATCH(TEMPLATE_SPHERE,TEMPLATE_SPHERE_LIST_FOR_NOTE,0))</f>
        <v>0</v>
      </c>
      <c r="J61" s="1229" t="n">
        <f aca="false">INDEX(TEMPLATE_DATA_POINT_FHD,B61,MATCH(TEMPLATE_SPHERE,TEMPLATE_SPHERE_LIST_FOR_NOTE,0))</f>
        <v>0</v>
      </c>
      <c r="K61" s="1229" t="n">
        <f aca="false">INDEX(TEMPLATE_NOTE_POINT_FHD,B61,MATCH(TEMPLATE_SPHERE,TEMPLATE_SPHERE_LIST_FOR_NOTE,0))</f>
        <v>0</v>
      </c>
      <c r="L61" s="1217" t="str">
        <f aca="false">IF(I61=0,"",I61)</f>
        <v/>
      </c>
      <c r="M61" s="1217" t="str">
        <f aca="false">IF(J61=0,"",J61)</f>
        <v/>
      </c>
      <c r="N61" s="1217" t="str">
        <f aca="false">IF(K61=0,"",K61)</f>
        <v/>
      </c>
      <c r="O61" s="1230"/>
      <c r="P61" s="1230" t="s">
        <v>91</v>
      </c>
      <c r="Q61" s="1230"/>
      <c r="R61" s="1230"/>
      <c r="S61" s="1230"/>
      <c r="T61" s="1214"/>
      <c r="U61" s="1214" t="s">
        <v>2153</v>
      </c>
      <c r="V61" s="1214"/>
      <c r="W61" s="1214"/>
      <c r="X61" s="1214"/>
      <c r="Y61" s="1218"/>
      <c r="Z61" s="1198"/>
      <c r="AA61" s="1205"/>
      <c r="AB61" s="1198"/>
      <c r="AC61" s="1198"/>
      <c r="AD61" s="1198"/>
    </row>
    <row r="62" customFormat="false" ht="9" hidden="false" customHeight="true" outlineLevel="0" collapsed="false">
      <c r="A62" s="1216"/>
      <c r="B62" s="1219" t="n">
        <v>45</v>
      </c>
      <c r="C62" s="1214"/>
      <c r="D62" s="1227" t="s">
        <v>2154</v>
      </c>
      <c r="E62" s="1214"/>
      <c r="F62" s="1214"/>
      <c r="G62" s="1214"/>
      <c r="H62" s="1232"/>
      <c r="I62" s="1229" t="n">
        <f aca="false">INDEX(TEMPLATE_NUMBER_POINT_FHD,B62,MATCH(TEMPLATE_SPHERE,TEMPLATE_SPHERE_LIST_FOR_NOTE,0))</f>
        <v>0</v>
      </c>
      <c r="J62" s="1229" t="n">
        <f aca="false">INDEX(TEMPLATE_DATA_POINT_FHD,B62,MATCH(TEMPLATE_SPHERE,TEMPLATE_SPHERE_LIST_FOR_NOTE,0))</f>
        <v>0</v>
      </c>
      <c r="K62" s="1229" t="n">
        <f aca="false">INDEX(TEMPLATE_NOTE_POINT_FHD,B62,MATCH(TEMPLATE_SPHERE,TEMPLATE_SPHERE_LIST_FOR_NOTE,0))</f>
        <v>0</v>
      </c>
      <c r="L62" s="1217" t="str">
        <f aca="false">IF(I62=0,"",I62)</f>
        <v/>
      </c>
      <c r="M62" s="1217" t="str">
        <f aca="false">IF(J62=0,"",J62)</f>
        <v/>
      </c>
      <c r="N62" s="1217" t="str">
        <f aca="false">IF(K62=0,"",K62)</f>
        <v/>
      </c>
      <c r="O62" s="1230"/>
      <c r="P62" s="1230" t="s">
        <v>110</v>
      </c>
      <c r="Q62" s="1230"/>
      <c r="R62" s="1230"/>
      <c r="S62" s="1230"/>
      <c r="T62" s="1214"/>
      <c r="U62" s="1214" t="s">
        <v>2155</v>
      </c>
      <c r="V62" s="1214"/>
      <c r="W62" s="1214"/>
      <c r="X62" s="1214"/>
      <c r="Y62" s="1218"/>
      <c r="Z62" s="1198"/>
      <c r="AA62" s="1205"/>
      <c r="AB62" s="1198"/>
      <c r="AC62" s="1198"/>
      <c r="AD62" s="1198"/>
    </row>
    <row r="63" customFormat="false" ht="18" hidden="false" customHeight="true" outlineLevel="0" collapsed="false">
      <c r="A63" s="1216"/>
      <c r="B63" s="1219" t="n">
        <v>46</v>
      </c>
      <c r="C63" s="1214"/>
      <c r="D63" s="1227" t="s">
        <v>2156</v>
      </c>
      <c r="E63" s="1214"/>
      <c r="F63" s="1214"/>
      <c r="G63" s="1214"/>
      <c r="H63" s="1232"/>
      <c r="I63" s="1229" t="n">
        <f aca="false">INDEX(TEMPLATE_NUMBER_POINT_FHD,B63,MATCH(TEMPLATE_SPHERE,TEMPLATE_SPHERE_LIST_FOR_NOTE,0))</f>
        <v>0</v>
      </c>
      <c r="J63" s="1229" t="n">
        <f aca="false">INDEX(TEMPLATE_DATA_POINT_FHD,B63,MATCH(TEMPLATE_SPHERE,TEMPLATE_SPHERE_LIST_FOR_NOTE,0))</f>
        <v>0</v>
      </c>
      <c r="K63" s="1229" t="n">
        <f aca="false">INDEX(TEMPLATE_NOTE_POINT_FHD,B63,MATCH(TEMPLATE_SPHERE,TEMPLATE_SPHERE_LIST_FOR_NOTE,0))</f>
        <v>0</v>
      </c>
      <c r="L63" s="1217" t="str">
        <f aca="false">IF(I63=0,"",I63)</f>
        <v/>
      </c>
      <c r="M63" s="1217" t="str">
        <f aca="false">IF(J63=0,"",J63)</f>
        <v/>
      </c>
      <c r="N63" s="1217" t="str">
        <f aca="false">IF(K63=0,"",K63)</f>
        <v/>
      </c>
      <c r="O63" s="1230"/>
      <c r="P63" s="1230" t="s">
        <v>147</v>
      </c>
      <c r="Q63" s="1230"/>
      <c r="R63" s="1230"/>
      <c r="S63" s="1230"/>
      <c r="T63" s="1214"/>
      <c r="U63" s="1214" t="s">
        <v>2157</v>
      </c>
      <c r="V63" s="1214"/>
      <c r="W63" s="1214"/>
      <c r="X63" s="1214"/>
      <c r="Y63" s="1218"/>
      <c r="Z63" s="1198"/>
      <c r="AA63" s="1205"/>
      <c r="AB63" s="1198"/>
      <c r="AC63" s="1198"/>
      <c r="AD63" s="1198"/>
    </row>
    <row r="64" customFormat="false" ht="18" hidden="false" customHeight="true" outlineLevel="0" collapsed="false">
      <c r="A64" s="1216"/>
      <c r="B64" s="1219" t="n">
        <v>47</v>
      </c>
      <c r="C64" s="1214"/>
      <c r="D64" s="1227" t="s">
        <v>2158</v>
      </c>
      <c r="E64" s="1214"/>
      <c r="F64" s="1214"/>
      <c r="G64" s="1214"/>
      <c r="H64" s="1232"/>
      <c r="I64" s="1229" t="n">
        <f aca="false">INDEX(TEMPLATE_NUMBER_POINT_FHD,B64,MATCH(TEMPLATE_SPHERE,TEMPLATE_SPHERE_LIST_FOR_NOTE,0))</f>
        <v>0</v>
      </c>
      <c r="J64" s="1229" t="n">
        <f aca="false">INDEX(TEMPLATE_DATA_POINT_FHD,B64,MATCH(TEMPLATE_SPHERE,TEMPLATE_SPHERE_LIST_FOR_NOTE,0))</f>
        <v>0</v>
      </c>
      <c r="K64" s="1229" t="n">
        <f aca="false">INDEX(TEMPLATE_NOTE_POINT_FHD,B64,MATCH(TEMPLATE_SPHERE,TEMPLATE_SPHERE_LIST_FOR_NOTE,0))</f>
        <v>0</v>
      </c>
      <c r="L64" s="1217" t="str">
        <f aca="false">IF(I64=0,"",I64)</f>
        <v/>
      </c>
      <c r="M64" s="1217" t="str">
        <f aca="false">IF(J64=0,"",J64)</f>
        <v/>
      </c>
      <c r="N64" s="1217" t="str">
        <f aca="false">IF(K64=0,"",K64)</f>
        <v/>
      </c>
      <c r="O64" s="1230"/>
      <c r="P64" s="1230" t="s">
        <v>148</v>
      </c>
      <c r="Q64" s="1230"/>
      <c r="R64" s="1230"/>
      <c r="S64" s="1230"/>
      <c r="T64" s="1214"/>
      <c r="U64" s="1214" t="s">
        <v>2159</v>
      </c>
      <c r="V64" s="1214"/>
      <c r="W64" s="1214"/>
      <c r="X64" s="1214"/>
      <c r="Y64" s="1218"/>
      <c r="Z64" s="1198"/>
      <c r="AA64" s="1205" t="s">
        <v>2160</v>
      </c>
      <c r="AB64" s="1198"/>
      <c r="AC64" s="1198"/>
      <c r="AD64" s="1198"/>
    </row>
    <row r="65" customFormat="false" ht="18" hidden="false" customHeight="true" outlineLevel="0" collapsed="false">
      <c r="A65" s="1216"/>
      <c r="B65" s="1219" t="n">
        <v>48</v>
      </c>
      <c r="C65" s="1214"/>
      <c r="D65" s="1227"/>
      <c r="E65" s="1214"/>
      <c r="F65" s="1214"/>
      <c r="G65" s="1214"/>
      <c r="H65" s="1232"/>
      <c r="I65" s="1229" t="n">
        <f aca="false">INDEX(TEMPLATE_NUMBER_POINT_FHD,B65,MATCH(TEMPLATE_SPHERE,TEMPLATE_SPHERE_LIST_FOR_NOTE,0))</f>
        <v>0</v>
      </c>
      <c r="J65" s="1229" t="n">
        <f aca="false">INDEX(TEMPLATE_DATA_POINT_FHD,B65,MATCH(TEMPLATE_SPHERE,TEMPLATE_SPHERE_LIST_FOR_NOTE,0))</f>
        <v>0</v>
      </c>
      <c r="K65" s="1229" t="n">
        <f aca="false">INDEX(TEMPLATE_NOTE_POINT_FHD,B65,MATCH(TEMPLATE_SPHERE,TEMPLATE_SPHERE_LIST_FOR_NOTE,0))</f>
        <v>0</v>
      </c>
      <c r="L65" s="1217" t="str">
        <f aca="false">IF(I65=0,"",I65)</f>
        <v/>
      </c>
      <c r="M65" s="1217" t="str">
        <f aca="false">IF(J65=0,"",J65)</f>
        <v/>
      </c>
      <c r="N65" s="1217" t="str">
        <f aca="false">IF(K65=0,"",K65)</f>
        <v/>
      </c>
      <c r="O65" s="1230"/>
      <c r="P65" s="1230" t="s">
        <v>2073</v>
      </c>
      <c r="Q65" s="1230"/>
      <c r="R65" s="1230"/>
      <c r="S65" s="1230"/>
      <c r="T65" s="1214"/>
      <c r="U65" s="1214" t="s">
        <v>2161</v>
      </c>
      <c r="V65" s="1214"/>
      <c r="W65" s="1214"/>
      <c r="X65" s="1214"/>
      <c r="Y65" s="1218"/>
      <c r="Z65" s="1198"/>
      <c r="AA65" s="1205"/>
      <c r="AB65" s="1198"/>
      <c r="AC65" s="1198"/>
      <c r="AD65" s="1198"/>
    </row>
    <row r="66" customFormat="false" ht="18" hidden="false" customHeight="true" outlineLevel="0" collapsed="false">
      <c r="A66" s="1216"/>
      <c r="B66" s="1219" t="n">
        <v>49</v>
      </c>
      <c r="C66" s="1214"/>
      <c r="D66" s="1227"/>
      <c r="E66" s="1214"/>
      <c r="F66" s="1214"/>
      <c r="G66" s="1214"/>
      <c r="H66" s="1232"/>
      <c r="I66" s="1229" t="n">
        <f aca="false">INDEX(TEMPLATE_NUMBER_POINT_FHD,B66,MATCH(TEMPLATE_SPHERE,TEMPLATE_SPHERE_LIST_FOR_NOTE,0))</f>
        <v>0</v>
      </c>
      <c r="J66" s="1229" t="n">
        <f aca="false">INDEX(TEMPLATE_DATA_POINT_FHD,B66,MATCH(TEMPLATE_SPHERE,TEMPLATE_SPHERE_LIST_FOR_NOTE,0))</f>
        <v>0</v>
      </c>
      <c r="K66" s="1229" t="n">
        <f aca="false">INDEX(TEMPLATE_NOTE_POINT_FHD,B66,MATCH(TEMPLATE_SPHERE,TEMPLATE_SPHERE_LIST_FOR_NOTE,0))</f>
        <v>0</v>
      </c>
      <c r="L66" s="1217" t="str">
        <f aca="false">IF(I66=0,"",I66)</f>
        <v/>
      </c>
      <c r="M66" s="1217" t="str">
        <f aca="false">IF(J66=0,"",J66)</f>
        <v/>
      </c>
      <c r="N66" s="1217" t="str">
        <f aca="false">IF(K66=0,"",K66)</f>
        <v/>
      </c>
      <c r="O66" s="1230"/>
      <c r="P66" s="1230" t="s">
        <v>2077</v>
      </c>
      <c r="Q66" s="1230"/>
      <c r="R66" s="1230"/>
      <c r="S66" s="1230"/>
      <c r="T66" s="1214"/>
      <c r="U66" s="1214" t="s">
        <v>2162</v>
      </c>
      <c r="V66" s="1214"/>
      <c r="W66" s="1214"/>
      <c r="X66" s="1214"/>
      <c r="Y66" s="1218"/>
      <c r="Z66" s="1198"/>
      <c r="AA66" s="1205"/>
      <c r="AB66" s="1198"/>
      <c r="AC66" s="1198"/>
      <c r="AD66" s="1198"/>
    </row>
    <row r="67" customFormat="false" ht="27" hidden="false" customHeight="true" outlineLevel="0" collapsed="false">
      <c r="A67" s="1216"/>
      <c r="B67" s="1219" t="n">
        <v>50</v>
      </c>
      <c r="C67" s="1214"/>
      <c r="D67" s="1227"/>
      <c r="E67" s="1214"/>
      <c r="F67" s="1214"/>
      <c r="G67" s="1214"/>
      <c r="H67" s="1232"/>
      <c r="I67" s="1229" t="n">
        <f aca="false">INDEX(TEMPLATE_NUMBER_POINT_FHD,B67,MATCH(TEMPLATE_SPHERE,TEMPLATE_SPHERE_LIST_FOR_NOTE,0))</f>
        <v>0</v>
      </c>
      <c r="J67" s="1229" t="n">
        <f aca="false">INDEX(TEMPLATE_DATA_POINT_FHD,B67,MATCH(TEMPLATE_SPHERE,TEMPLATE_SPHERE_LIST_FOR_NOTE,0))</f>
        <v>0</v>
      </c>
      <c r="K67" s="1229" t="n">
        <f aca="false">INDEX(TEMPLATE_NOTE_POINT_FHD,B67,MATCH(TEMPLATE_SPHERE,TEMPLATE_SPHERE_LIST_FOR_NOTE,0))</f>
        <v>0</v>
      </c>
      <c r="L67" s="1217" t="str">
        <f aca="false">IF(I67=0,"",I67)</f>
        <v/>
      </c>
      <c r="M67" s="1217" t="str">
        <f aca="false">IF(J67=0,"",J67)</f>
        <v/>
      </c>
      <c r="N67" s="1217" t="str">
        <f aca="false">IF(K67=0,"",K67)</f>
        <v/>
      </c>
      <c r="O67" s="1230"/>
      <c r="P67" s="1230" t="s">
        <v>2163</v>
      </c>
      <c r="Q67" s="1230"/>
      <c r="R67" s="1230"/>
      <c r="S67" s="1230"/>
      <c r="T67" s="1214"/>
      <c r="U67" s="1214" t="s">
        <v>2164</v>
      </c>
      <c r="V67" s="1214"/>
      <c r="W67" s="1214"/>
      <c r="X67" s="1214"/>
      <c r="Y67" s="1218"/>
      <c r="Z67" s="1198"/>
      <c r="AA67" s="1205"/>
      <c r="AB67" s="1198"/>
      <c r="AC67" s="1198"/>
      <c r="AD67" s="1198"/>
    </row>
    <row r="68" customFormat="false" ht="27" hidden="false" customHeight="true" outlineLevel="0" collapsed="false">
      <c r="A68" s="1216"/>
      <c r="B68" s="1219" t="n">
        <v>51</v>
      </c>
      <c r="C68" s="1214"/>
      <c r="D68" s="1227"/>
      <c r="E68" s="1214"/>
      <c r="F68" s="1214"/>
      <c r="G68" s="1214"/>
      <c r="H68" s="1232"/>
      <c r="I68" s="1229" t="n">
        <f aca="false">INDEX(TEMPLATE_NUMBER_POINT_FHD,B68,MATCH(TEMPLATE_SPHERE,TEMPLATE_SPHERE_LIST_FOR_NOTE,0))</f>
        <v>0</v>
      </c>
      <c r="J68" s="1229" t="n">
        <f aca="false">INDEX(TEMPLATE_DATA_POINT_FHD,B68,MATCH(TEMPLATE_SPHERE,TEMPLATE_SPHERE_LIST_FOR_NOTE,0))</f>
        <v>0</v>
      </c>
      <c r="K68" s="1229" t="n">
        <f aca="false">INDEX(TEMPLATE_NOTE_POINT_FHD,B68,MATCH(TEMPLATE_SPHERE,TEMPLATE_SPHERE_LIST_FOR_NOTE,0))</f>
        <v>0</v>
      </c>
      <c r="L68" s="1217" t="str">
        <f aca="false">IF(I68=0,"",I68)</f>
        <v/>
      </c>
      <c r="M68" s="1217" t="str">
        <f aca="false">IF(J68=0,"",J68)</f>
        <v/>
      </c>
      <c r="N68" s="1217" t="str">
        <f aca="false">IF(K68=0,"",K68)</f>
        <v/>
      </c>
      <c r="O68" s="1230"/>
      <c r="P68" s="1230" t="s">
        <v>2165</v>
      </c>
      <c r="Q68" s="1230"/>
      <c r="R68" s="1230"/>
      <c r="S68" s="1230"/>
      <c r="T68" s="1214"/>
      <c r="U68" s="1214" t="s">
        <v>2166</v>
      </c>
      <c r="V68" s="1214"/>
      <c r="W68" s="1214"/>
      <c r="X68" s="1214"/>
      <c r="Y68" s="1218"/>
      <c r="Z68" s="1198"/>
      <c r="AA68" s="1205"/>
      <c r="AB68" s="1198"/>
      <c r="AC68" s="1198"/>
      <c r="AD68" s="1198"/>
    </row>
    <row r="69" customFormat="false" ht="9" hidden="false" customHeight="true" outlineLevel="0" collapsed="false">
      <c r="A69" s="1216"/>
      <c r="B69" s="1219" t="n">
        <v>52</v>
      </c>
      <c r="C69" s="1214"/>
      <c r="D69" s="1227" t="s">
        <v>2167</v>
      </c>
      <c r="E69" s="1214"/>
      <c r="F69" s="1214"/>
      <c r="G69" s="1214"/>
      <c r="H69" s="1232"/>
      <c r="I69" s="1229" t="n">
        <f aca="false">INDEX(TEMPLATE_NUMBER_POINT_FHD,B69,MATCH(TEMPLATE_SPHERE,TEMPLATE_SPHERE_LIST_FOR_NOTE,0))</f>
        <v>0</v>
      </c>
      <c r="J69" s="1229" t="n">
        <f aca="false">INDEX(TEMPLATE_DATA_POINT_FHD,B69,MATCH(TEMPLATE_SPHERE,TEMPLATE_SPHERE_LIST_FOR_NOTE,0))</f>
        <v>0</v>
      </c>
      <c r="K69" s="1229" t="n">
        <f aca="false">INDEX(TEMPLATE_NOTE_POINT_FHD,B69,MATCH(TEMPLATE_SPHERE,TEMPLATE_SPHERE_LIST_FOR_NOTE,0))</f>
        <v>0</v>
      </c>
      <c r="L69" s="1217" t="str">
        <f aca="false">IF(I69=0,"",I69)</f>
        <v/>
      </c>
      <c r="M69" s="1217" t="str">
        <f aca="false">IF(J69=0,"",J69)</f>
        <v/>
      </c>
      <c r="N69" s="1217" t="str">
        <f aca="false">IF(K69=0,"",K69)</f>
        <v/>
      </c>
      <c r="O69" s="1230"/>
      <c r="P69" s="1230" t="s">
        <v>149</v>
      </c>
      <c r="Q69" s="1230"/>
      <c r="R69" s="1230"/>
      <c r="S69" s="1230"/>
      <c r="T69" s="1214"/>
      <c r="U69" s="1214" t="s">
        <v>2168</v>
      </c>
      <c r="V69" s="1214"/>
      <c r="W69" s="1214"/>
      <c r="X69" s="1214"/>
      <c r="Y69" s="1218"/>
      <c r="Z69" s="1198"/>
      <c r="AA69" s="1205"/>
      <c r="AB69" s="1198"/>
      <c r="AC69" s="1198"/>
      <c r="AD69" s="1198"/>
    </row>
    <row r="70" customFormat="false" ht="27" hidden="false" customHeight="true" outlineLevel="0" collapsed="false">
      <c r="A70" s="1216"/>
      <c r="B70" s="1219" t="n">
        <v>53</v>
      </c>
      <c r="C70" s="1214"/>
      <c r="D70" s="1227"/>
      <c r="E70" s="1214" t="s">
        <v>2152</v>
      </c>
      <c r="F70" s="1214"/>
      <c r="G70" s="1214"/>
      <c r="H70" s="1232"/>
      <c r="I70" s="1229" t="n">
        <f aca="false">INDEX(TEMPLATE_NUMBER_POINT_FHD,B70,MATCH(TEMPLATE_SPHERE,TEMPLATE_SPHERE_LIST_FOR_NOTE,0))</f>
        <v>0</v>
      </c>
      <c r="J70" s="1229" t="n">
        <f aca="false">INDEX(TEMPLATE_DATA_POINT_FHD,B70,MATCH(TEMPLATE_SPHERE,TEMPLATE_SPHERE_LIST_FOR_NOTE,0))</f>
        <v>0</v>
      </c>
      <c r="K70" s="1229" t="n">
        <f aca="false">INDEX(TEMPLATE_NOTE_POINT_FHD,B70,MATCH(TEMPLATE_SPHERE,TEMPLATE_SPHERE_LIST_FOR_NOTE,0))</f>
        <v>0</v>
      </c>
      <c r="L70" s="1217" t="str">
        <f aca="false">IF(I70=0,"",I70)</f>
        <v/>
      </c>
      <c r="M70" s="1217" t="str">
        <f aca="false">IF(J70=0,"",J70)</f>
        <v/>
      </c>
      <c r="N70" s="1217" t="str">
        <f aca="false">IF(K70=0,"",K70)</f>
        <v/>
      </c>
      <c r="O70" s="1230"/>
      <c r="P70" s="1230"/>
      <c r="Q70" s="1230" t="s">
        <v>91</v>
      </c>
      <c r="R70" s="1230"/>
      <c r="S70" s="1230"/>
      <c r="T70" s="1214"/>
      <c r="U70" s="1214"/>
      <c r="V70" s="1214" t="s">
        <v>2169</v>
      </c>
      <c r="W70" s="1214"/>
      <c r="X70" s="1214"/>
      <c r="Y70" s="1218"/>
      <c r="Z70" s="1198"/>
      <c r="AA70" s="1205"/>
      <c r="AB70" s="1198"/>
      <c r="AC70" s="1198"/>
      <c r="AD70" s="1198"/>
    </row>
    <row r="71" customFormat="false" ht="36" hidden="false" customHeight="true" outlineLevel="0" collapsed="false">
      <c r="A71" s="1216"/>
      <c r="B71" s="1219" t="n">
        <v>54</v>
      </c>
      <c r="C71" s="1214"/>
      <c r="D71" s="1227"/>
      <c r="E71" s="1214" t="s">
        <v>2154</v>
      </c>
      <c r="F71" s="1214"/>
      <c r="G71" s="1214"/>
      <c r="H71" s="1232"/>
      <c r="I71" s="1229" t="n">
        <f aca="false">INDEX(TEMPLATE_NUMBER_POINT_FHD,B71,MATCH(TEMPLATE_SPHERE,TEMPLATE_SPHERE_LIST_FOR_NOTE,0))</f>
        <v>0</v>
      </c>
      <c r="J71" s="1229" t="n">
        <f aca="false">INDEX(TEMPLATE_DATA_POINT_FHD,B71,MATCH(TEMPLATE_SPHERE,TEMPLATE_SPHERE_LIST_FOR_NOTE,0))</f>
        <v>0</v>
      </c>
      <c r="K71" s="1229" t="n">
        <f aca="false">INDEX(TEMPLATE_NOTE_POINT_FHD,B71,MATCH(TEMPLATE_SPHERE,TEMPLATE_SPHERE_LIST_FOR_NOTE,0))</f>
        <v>0</v>
      </c>
      <c r="L71" s="1217" t="str">
        <f aca="false">IF(I71=0,"",I71)</f>
        <v/>
      </c>
      <c r="M71" s="1217" t="str">
        <f aca="false">IF(J71=0,"",J71)</f>
        <v/>
      </c>
      <c r="N71" s="1217" t="str">
        <f aca="false">IF(K71=0,"",K71)</f>
        <v/>
      </c>
      <c r="O71" s="1230"/>
      <c r="P71" s="1230"/>
      <c r="Q71" s="1230" t="s">
        <v>110</v>
      </c>
      <c r="R71" s="1230"/>
      <c r="S71" s="1230"/>
      <c r="T71" s="1214"/>
      <c r="U71" s="1214"/>
      <c r="V71" s="1214" t="s">
        <v>2170</v>
      </c>
      <c r="W71" s="1214"/>
      <c r="X71" s="1214"/>
      <c r="Y71" s="1218"/>
      <c r="Z71" s="1198"/>
      <c r="AA71" s="1205"/>
      <c r="AB71" s="1198"/>
      <c r="AC71" s="1198"/>
      <c r="AD71" s="1198"/>
    </row>
    <row r="72" customFormat="false" ht="27" hidden="false" customHeight="true" outlineLevel="0" collapsed="false">
      <c r="A72" s="1216"/>
      <c r="B72" s="1219" t="n">
        <v>55</v>
      </c>
      <c r="C72" s="1214"/>
      <c r="D72" s="1227"/>
      <c r="E72" s="1214" t="s">
        <v>2156</v>
      </c>
      <c r="F72" s="1214"/>
      <c r="G72" s="1214"/>
      <c r="H72" s="1232"/>
      <c r="I72" s="1229" t="n">
        <f aca="false">INDEX(TEMPLATE_NUMBER_POINT_FHD,B72,MATCH(TEMPLATE_SPHERE,TEMPLATE_SPHERE_LIST_FOR_NOTE,0))</f>
        <v>0</v>
      </c>
      <c r="J72" s="1229" t="n">
        <f aca="false">INDEX(TEMPLATE_DATA_POINT_FHD,B72,MATCH(TEMPLATE_SPHERE,TEMPLATE_SPHERE_LIST_FOR_NOTE,0))</f>
        <v>0</v>
      </c>
      <c r="K72" s="1229" t="n">
        <f aca="false">INDEX(TEMPLATE_NOTE_POINT_FHD,B72,MATCH(TEMPLATE_SPHERE,TEMPLATE_SPHERE_LIST_FOR_NOTE,0))</f>
        <v>0</v>
      </c>
      <c r="L72" s="1217" t="str">
        <f aca="false">IF(I72=0,"",I72)</f>
        <v/>
      </c>
      <c r="M72" s="1217" t="str">
        <f aca="false">IF(J72=0,"",J72)</f>
        <v/>
      </c>
      <c r="N72" s="1217" t="str">
        <f aca="false">IF(K72=0,"",K72)</f>
        <v/>
      </c>
      <c r="O72" s="1230"/>
      <c r="P72" s="1230"/>
      <c r="Q72" s="1230" t="s">
        <v>147</v>
      </c>
      <c r="R72" s="1230"/>
      <c r="S72" s="1230"/>
      <c r="T72" s="1214"/>
      <c r="U72" s="1214"/>
      <c r="V72" s="1214" t="s">
        <v>2171</v>
      </c>
      <c r="W72" s="1214"/>
      <c r="X72" s="1214"/>
      <c r="Y72" s="1218"/>
      <c r="Z72" s="1198"/>
      <c r="AA72" s="1205"/>
      <c r="AB72" s="1198"/>
      <c r="AC72" s="1198"/>
      <c r="AD72" s="1198"/>
    </row>
    <row r="73" customFormat="false" ht="36" hidden="false" customHeight="true" outlineLevel="0" collapsed="false">
      <c r="A73" s="1216"/>
      <c r="B73" s="1219" t="n">
        <v>56</v>
      </c>
      <c r="C73" s="1214"/>
      <c r="D73" s="1227"/>
      <c r="E73" s="1214" t="s">
        <v>2158</v>
      </c>
      <c r="F73" s="1214"/>
      <c r="G73" s="1214"/>
      <c r="H73" s="1232"/>
      <c r="I73" s="1229" t="n">
        <f aca="false">INDEX(TEMPLATE_NUMBER_POINT_FHD,B73,MATCH(TEMPLATE_SPHERE,TEMPLATE_SPHERE_LIST_FOR_NOTE,0))</f>
        <v>0</v>
      </c>
      <c r="J73" s="1229" t="n">
        <f aca="false">INDEX(TEMPLATE_DATA_POINT_FHD,B73,MATCH(TEMPLATE_SPHERE,TEMPLATE_SPHERE_LIST_FOR_NOTE,0))</f>
        <v>0</v>
      </c>
      <c r="K73" s="1229" t="n">
        <f aca="false">INDEX(TEMPLATE_NOTE_POINT_FHD,B73,MATCH(TEMPLATE_SPHERE,TEMPLATE_SPHERE_LIST_FOR_NOTE,0))</f>
        <v>0</v>
      </c>
      <c r="L73" s="1217" t="str">
        <f aca="false">IF(I73=0,"",I73)</f>
        <v/>
      </c>
      <c r="M73" s="1217" t="str">
        <f aca="false">IF(J73=0,"",J73)</f>
        <v/>
      </c>
      <c r="N73" s="1217" t="str">
        <f aca="false">IF(K73=0,"",K73)</f>
        <v/>
      </c>
      <c r="O73" s="1230"/>
      <c r="P73" s="1230"/>
      <c r="Q73" s="1230" t="s">
        <v>148</v>
      </c>
      <c r="R73" s="1230"/>
      <c r="S73" s="1230"/>
      <c r="T73" s="1214"/>
      <c r="U73" s="1214"/>
      <c r="V73" s="1214" t="s">
        <v>2172</v>
      </c>
      <c r="W73" s="1214"/>
      <c r="X73" s="1214"/>
      <c r="Y73" s="1218"/>
      <c r="Z73" s="1198"/>
      <c r="AA73" s="1205"/>
      <c r="AB73" s="1198"/>
      <c r="AC73" s="1198"/>
      <c r="AD73" s="1198"/>
    </row>
    <row r="74" customFormat="false" ht="18" hidden="false" customHeight="true" outlineLevel="0" collapsed="false">
      <c r="A74" s="1216"/>
      <c r="B74" s="1219" t="n">
        <v>57</v>
      </c>
      <c r="C74" s="1214"/>
      <c r="D74" s="1227"/>
      <c r="E74" s="1214" t="s">
        <v>2167</v>
      </c>
      <c r="F74" s="1214"/>
      <c r="G74" s="1214"/>
      <c r="H74" s="1232"/>
      <c r="I74" s="1229" t="n">
        <f aca="false">INDEX(TEMPLATE_NUMBER_POINT_FHD,B74,MATCH(TEMPLATE_SPHERE,TEMPLATE_SPHERE_LIST_FOR_NOTE,0))</f>
        <v>0</v>
      </c>
      <c r="J74" s="1229" t="n">
        <f aca="false">INDEX(TEMPLATE_DATA_POINT_FHD,B74,MATCH(TEMPLATE_SPHERE,TEMPLATE_SPHERE_LIST_FOR_NOTE,0))</f>
        <v>0</v>
      </c>
      <c r="K74" s="1229" t="n">
        <f aca="false">INDEX(TEMPLATE_NOTE_POINT_FHD,B74,MATCH(TEMPLATE_SPHERE,TEMPLATE_SPHERE_LIST_FOR_NOTE,0))</f>
        <v>0</v>
      </c>
      <c r="L74" s="1217" t="str">
        <f aca="false">IF(I74=0,"",I74)</f>
        <v/>
      </c>
      <c r="M74" s="1217" t="str">
        <f aca="false">IF(J74=0,"",J74)</f>
        <v/>
      </c>
      <c r="N74" s="1217" t="str">
        <f aca="false">IF(K74=0,"",K74)</f>
        <v/>
      </c>
      <c r="O74" s="1230"/>
      <c r="P74" s="1230"/>
      <c r="Q74" s="1230" t="s">
        <v>149</v>
      </c>
      <c r="R74" s="1230"/>
      <c r="S74" s="1230"/>
      <c r="T74" s="1214"/>
      <c r="U74" s="1214"/>
      <c r="V74" s="1214" t="s">
        <v>2173</v>
      </c>
      <c r="W74" s="1214"/>
      <c r="X74" s="1214"/>
      <c r="Y74" s="1218"/>
      <c r="Z74" s="1198"/>
      <c r="AA74" s="1205"/>
      <c r="AB74" s="1198"/>
      <c r="AC74" s="1198"/>
      <c r="AD74" s="1198"/>
    </row>
    <row r="75" customFormat="false" ht="18" hidden="false" customHeight="true" outlineLevel="0" collapsed="false">
      <c r="A75" s="1216"/>
      <c r="B75" s="1219" t="n">
        <v>58</v>
      </c>
      <c r="C75" s="1214"/>
      <c r="D75" s="1227"/>
      <c r="E75" s="1214"/>
      <c r="F75" s="1214" t="s">
        <v>2152</v>
      </c>
      <c r="G75" s="1214"/>
      <c r="H75" s="1232"/>
      <c r="I75" s="1229" t="str">
        <f aca="false">INDEX(TEMPLATE_NUMBER_POINT_FHD,B75,MATCH(TEMPLATE_SPHERE,TEMPLATE_SPHERE_LIST_FOR_NOTE,0))</f>
        <v>7</v>
      </c>
      <c r="J75" s="1229" t="str">
        <f aca="false">INDEX(TEMPLATE_DATA_POINT_FHD,B75,MATCH(TEMPLATE_SPHERE,TEMPLATE_SPHERE_LIST_FOR_NOTE,0))</f>
        <v>Объём сточных вод, принятых от потребителей</v>
      </c>
      <c r="K75" s="1229" t="n">
        <f aca="false">INDEX(TEMPLATE_NOTE_POINT_FHD,B75,MATCH(TEMPLATE_SPHERE,TEMPLATE_SPHERE_LIST_FOR_NOTE,0))</f>
        <v>0</v>
      </c>
      <c r="L75" s="1217" t="str">
        <f aca="false">IF(I75=0,"",I75)</f>
        <v>7</v>
      </c>
      <c r="M75" s="1217" t="str">
        <f aca="false">IF(J75=0,"",J75)</f>
        <v>Объём сточных вод, принятых от потребителей</v>
      </c>
      <c r="N75" s="1217" t="str">
        <f aca="false">IF(K75=0,"",K75)</f>
        <v/>
      </c>
      <c r="O75" s="1230"/>
      <c r="P75" s="1230"/>
      <c r="Q75" s="1230"/>
      <c r="R75" s="1230" t="s">
        <v>91</v>
      </c>
      <c r="S75" s="1230"/>
      <c r="T75" s="1214"/>
      <c r="U75" s="1214"/>
      <c r="V75" s="1214"/>
      <c r="W75" s="1214" t="s">
        <v>2174</v>
      </c>
      <c r="X75" s="1214"/>
      <c r="Y75" s="1218"/>
      <c r="Z75" s="1198"/>
      <c r="AA75" s="1205"/>
      <c r="AB75" s="1198"/>
      <c r="AC75" s="1198"/>
      <c r="AD75" s="1198"/>
    </row>
    <row r="76" customFormat="false" ht="36" hidden="false" customHeight="true" outlineLevel="0" collapsed="false">
      <c r="A76" s="1216"/>
      <c r="B76" s="1219" t="n">
        <v>59</v>
      </c>
      <c r="C76" s="1214"/>
      <c r="D76" s="1227"/>
      <c r="E76" s="1214"/>
      <c r="F76" s="1214" t="s">
        <v>2154</v>
      </c>
      <c r="G76" s="1214"/>
      <c r="H76" s="1232"/>
      <c r="I76" s="1229" t="str">
        <f aca="false">INDEX(TEMPLATE_NUMBER_POINT_FHD,B76,MATCH(TEMPLATE_SPHERE,TEMPLATE_SPHERE_LIST_FOR_NOTE,0))</f>
        <v>8</v>
      </c>
      <c r="J76" s="1229" t="str">
        <f aca="false">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229" t="n">
        <f aca="false">INDEX(TEMPLATE_NOTE_POINT_FHD,B76,MATCH(TEMPLATE_SPHERE,TEMPLATE_SPHERE_LIST_FOR_NOTE,0))</f>
        <v>0</v>
      </c>
      <c r="L76" s="1217" t="str">
        <f aca="false">IF(I76=0,"",I76)</f>
        <v>8</v>
      </c>
      <c r="M76" s="1217" t="str">
        <f aca="false">IF(J76=0,"",J76)</f>
        <v>Объём сточных вод, принятых от других регулируемых организаций, осуществляющих водоотведение и (или) очистку сточных вод</v>
      </c>
      <c r="N76" s="1217" t="str">
        <f aca="false">IF(K76=0,"",K76)</f>
        <v/>
      </c>
      <c r="O76" s="1230"/>
      <c r="P76" s="1230"/>
      <c r="Q76" s="1230"/>
      <c r="R76" s="1230" t="s">
        <v>110</v>
      </c>
      <c r="S76" s="1230"/>
      <c r="T76" s="1214"/>
      <c r="U76" s="1214"/>
      <c r="V76" s="1214"/>
      <c r="W76" s="1214" t="s">
        <v>2175</v>
      </c>
      <c r="X76" s="1214"/>
      <c r="Y76" s="1218"/>
      <c r="Z76" s="1198"/>
      <c r="AA76" s="1205"/>
      <c r="AB76" s="1198"/>
      <c r="AC76" s="1198"/>
      <c r="AD76" s="1198"/>
    </row>
    <row r="77" customFormat="false" ht="18" hidden="false" customHeight="true" outlineLevel="0" collapsed="false">
      <c r="A77" s="1216"/>
      <c r="B77" s="1219" t="n">
        <v>60</v>
      </c>
      <c r="C77" s="1214"/>
      <c r="D77" s="1227"/>
      <c r="E77" s="1214"/>
      <c r="F77" s="1214" t="s">
        <v>2156</v>
      </c>
      <c r="G77" s="1214"/>
      <c r="H77" s="1232"/>
      <c r="I77" s="1229" t="str">
        <f aca="false">INDEX(TEMPLATE_NUMBER_POINT_FHD,B77,MATCH(TEMPLATE_SPHERE,TEMPLATE_SPHERE_LIST_FOR_NOTE,0))</f>
        <v>9</v>
      </c>
      <c r="J77" s="1229" t="str">
        <f aca="false">INDEX(TEMPLATE_DATA_POINT_FHD,B77,MATCH(TEMPLATE_SPHERE,TEMPLATE_SPHERE_LIST_FOR_NOTE,0))</f>
        <v>Объём сточных вод, пропущенных через очистные сооружения</v>
      </c>
      <c r="K77" s="1229" t="n">
        <f aca="false">INDEX(TEMPLATE_NOTE_POINT_FHD,B77,MATCH(TEMPLATE_SPHERE,TEMPLATE_SPHERE_LIST_FOR_NOTE,0))</f>
        <v>0</v>
      </c>
      <c r="L77" s="1217" t="str">
        <f aca="false">IF(I77=0,"",I77)</f>
        <v>9</v>
      </c>
      <c r="M77" s="1217" t="str">
        <f aca="false">IF(J77=0,"",J77)</f>
        <v>Объём сточных вод, пропущенных через очистные сооружения</v>
      </c>
      <c r="N77" s="1217" t="str">
        <f aca="false">IF(K77=0,"",K77)</f>
        <v/>
      </c>
      <c r="O77" s="1230"/>
      <c r="P77" s="1230"/>
      <c r="Q77" s="1230"/>
      <c r="R77" s="1230" t="s">
        <v>147</v>
      </c>
      <c r="S77" s="1230"/>
      <c r="T77" s="1214"/>
      <c r="U77" s="1214"/>
      <c r="V77" s="1214"/>
      <c r="W77" s="1214" t="s">
        <v>2176</v>
      </c>
      <c r="X77" s="1214"/>
      <c r="Y77" s="1218"/>
      <c r="Z77" s="1198"/>
      <c r="AA77" s="1205"/>
      <c r="AB77" s="1198"/>
      <c r="AC77" s="1198"/>
      <c r="AD77" s="1198"/>
    </row>
    <row r="78" customFormat="false" ht="72" hidden="false" customHeight="true" outlineLevel="0" collapsed="false">
      <c r="A78" s="1216"/>
      <c r="B78" s="1219" t="n">
        <v>61</v>
      </c>
      <c r="C78" s="1214" t="s">
        <v>2152</v>
      </c>
      <c r="D78" s="1227"/>
      <c r="E78" s="1214"/>
      <c r="F78" s="1214"/>
      <c r="G78" s="1214"/>
      <c r="H78" s="1232"/>
      <c r="I78" s="1229" t="n">
        <f aca="false">INDEX(TEMPLATE_NUMBER_POINT_FHD,B78,MATCH(TEMPLATE_SPHERE,TEMPLATE_SPHERE_LIST_FOR_NOTE,0))</f>
        <v>0</v>
      </c>
      <c r="J78" s="1229" t="n">
        <f aca="false">INDEX(TEMPLATE_DATA_POINT_FHD,B78,MATCH(TEMPLATE_SPHERE,TEMPLATE_SPHERE_LIST_FOR_NOTE,0))</f>
        <v>0</v>
      </c>
      <c r="K78" s="1229" t="n">
        <f aca="false">INDEX(TEMPLATE_NOTE_POINT_FHD,B78,MATCH(TEMPLATE_SPHERE,TEMPLATE_SPHERE_LIST_FOR_NOTE,0))</f>
        <v>0</v>
      </c>
      <c r="L78" s="1217" t="str">
        <f aca="false">IF(I78=0,"",I78)</f>
        <v/>
      </c>
      <c r="M78" s="1217" t="str">
        <f aca="false">IF(J78=0,"",J78)</f>
        <v/>
      </c>
      <c r="N78" s="1217" t="str">
        <f aca="false">IF(K78=0,"",K78)</f>
        <v/>
      </c>
      <c r="O78" s="1230" t="s">
        <v>91</v>
      </c>
      <c r="P78" s="1230"/>
      <c r="Q78" s="1230"/>
      <c r="R78" s="1230"/>
      <c r="S78" s="1230"/>
      <c r="T78" s="1214" t="s">
        <v>631</v>
      </c>
      <c r="U78" s="1214"/>
      <c r="V78" s="1214"/>
      <c r="W78" s="1214"/>
      <c r="X78" s="1214"/>
      <c r="Y78" s="1218"/>
      <c r="Z78" s="1198" t="s">
        <v>2177</v>
      </c>
      <c r="AA78" s="1205"/>
      <c r="AB78" s="1198"/>
      <c r="AC78" s="1198"/>
      <c r="AD78" s="1198"/>
    </row>
    <row r="79" customFormat="false" ht="36" hidden="false" customHeight="true" outlineLevel="0" collapsed="false">
      <c r="A79" s="1216"/>
      <c r="B79" s="1219" t="n">
        <v>62</v>
      </c>
      <c r="C79" s="1214" t="s">
        <v>2154</v>
      </c>
      <c r="D79" s="1227"/>
      <c r="E79" s="1214"/>
      <c r="F79" s="1214"/>
      <c r="G79" s="1214"/>
      <c r="H79" s="1232"/>
      <c r="I79" s="1229" t="n">
        <f aca="false">INDEX(TEMPLATE_NUMBER_POINT_FHD,B79,MATCH(TEMPLATE_SPHERE,TEMPLATE_SPHERE_LIST_FOR_NOTE,0))</f>
        <v>0</v>
      </c>
      <c r="J79" s="1229" t="n">
        <f aca="false">INDEX(TEMPLATE_DATA_POINT_FHD,B79,MATCH(TEMPLATE_SPHERE,TEMPLATE_SPHERE_LIST_FOR_NOTE,0))</f>
        <v>0</v>
      </c>
      <c r="K79" s="1229" t="n">
        <f aca="false">INDEX(TEMPLATE_NOTE_POINT_FHD,B79,MATCH(TEMPLATE_SPHERE,TEMPLATE_SPHERE_LIST_FOR_NOTE,0))</f>
        <v>0</v>
      </c>
      <c r="L79" s="1217" t="str">
        <f aca="false">IF(I79=0,"",I79)</f>
        <v/>
      </c>
      <c r="M79" s="1217" t="str">
        <f aca="false">IF(J79=0,"",J79)</f>
        <v/>
      </c>
      <c r="N79" s="1217" t="str">
        <f aca="false">IF(K79=0,"",K79)</f>
        <v/>
      </c>
      <c r="O79" s="1230" t="s">
        <v>110</v>
      </c>
      <c r="P79" s="1230"/>
      <c r="Q79" s="1230"/>
      <c r="R79" s="1230"/>
      <c r="S79" s="1230"/>
      <c r="T79" s="1214" t="s">
        <v>2178</v>
      </c>
      <c r="U79" s="1214"/>
      <c r="V79" s="1214"/>
      <c r="W79" s="1214"/>
      <c r="X79" s="1214"/>
      <c r="Y79" s="1218"/>
      <c r="Z79" s="1198" t="s">
        <v>2179</v>
      </c>
      <c r="AA79" s="1205"/>
      <c r="AB79" s="1198"/>
      <c r="AC79" s="1198"/>
      <c r="AD79" s="1198"/>
    </row>
    <row r="80" customFormat="false" ht="45" hidden="false" customHeight="true" outlineLevel="0" collapsed="false">
      <c r="A80" s="1216"/>
      <c r="B80" s="1219" t="n">
        <v>63</v>
      </c>
      <c r="C80" s="1214" t="s">
        <v>2156</v>
      </c>
      <c r="D80" s="1227"/>
      <c r="E80" s="1214"/>
      <c r="F80" s="1214"/>
      <c r="G80" s="1214"/>
      <c r="H80" s="1232"/>
      <c r="I80" s="1229" t="n">
        <f aca="false">INDEX(TEMPLATE_NUMBER_POINT_FHD,B80,MATCH(TEMPLATE_SPHERE,TEMPLATE_SPHERE_LIST_FOR_NOTE,0))</f>
        <v>0</v>
      </c>
      <c r="J80" s="1229" t="n">
        <f aca="false">INDEX(TEMPLATE_DATA_POINT_FHD,B80,MATCH(TEMPLATE_SPHERE,TEMPLATE_SPHERE_LIST_FOR_NOTE,0))</f>
        <v>0</v>
      </c>
      <c r="K80" s="1229" t="n">
        <f aca="false">INDEX(TEMPLATE_NOTE_POINT_FHD,B80,MATCH(TEMPLATE_SPHERE,TEMPLATE_SPHERE_LIST_FOR_NOTE,0))</f>
        <v>0</v>
      </c>
      <c r="L80" s="1217" t="str">
        <f aca="false">IF(I80=0,"",I80)</f>
        <v/>
      </c>
      <c r="M80" s="1217" t="str">
        <f aca="false">IF(J80=0,"",J80)</f>
        <v/>
      </c>
      <c r="N80" s="1217" t="str">
        <f aca="false">IF(K80=0,"",K80)</f>
        <v/>
      </c>
      <c r="O80" s="1230" t="s">
        <v>147</v>
      </c>
      <c r="P80" s="1230"/>
      <c r="Q80" s="1230"/>
      <c r="R80" s="1230"/>
      <c r="S80" s="1230"/>
      <c r="T80" s="1214" t="s">
        <v>2180</v>
      </c>
      <c r="U80" s="1214"/>
      <c r="V80" s="1214"/>
      <c r="W80" s="1214"/>
      <c r="X80" s="1214"/>
      <c r="Y80" s="1218"/>
      <c r="Z80" s="1198" t="s">
        <v>2181</v>
      </c>
      <c r="AA80" s="1205"/>
      <c r="AB80" s="1198"/>
      <c r="AC80" s="1198"/>
      <c r="AD80" s="1198"/>
    </row>
    <row r="81" customFormat="false" ht="36" hidden="false" customHeight="true" outlineLevel="0" collapsed="false">
      <c r="A81" s="1216"/>
      <c r="B81" s="1219" t="n">
        <v>64</v>
      </c>
      <c r="C81" s="1214" t="s">
        <v>2158</v>
      </c>
      <c r="D81" s="1227"/>
      <c r="E81" s="1214"/>
      <c r="F81" s="1214"/>
      <c r="G81" s="1214"/>
      <c r="H81" s="1232"/>
      <c r="I81" s="1229" t="n">
        <f aca="false">INDEX(TEMPLATE_NUMBER_POINT_FHD,B81,MATCH(TEMPLATE_SPHERE,TEMPLATE_SPHERE_LIST_FOR_NOTE,0))</f>
        <v>0</v>
      </c>
      <c r="J81" s="1229" t="n">
        <f aca="false">INDEX(TEMPLATE_DATA_POINT_FHD,B81,MATCH(TEMPLATE_SPHERE,TEMPLATE_SPHERE_LIST_FOR_NOTE,0))</f>
        <v>0</v>
      </c>
      <c r="K81" s="1229" t="n">
        <f aca="false">INDEX(TEMPLATE_NOTE_POINT_FHD,B81,MATCH(TEMPLATE_SPHERE,TEMPLATE_SPHERE_LIST_FOR_NOTE,0))</f>
        <v>0</v>
      </c>
      <c r="L81" s="1217" t="str">
        <f aca="false">IF(I81=0,"",I81)</f>
        <v/>
      </c>
      <c r="M81" s="1217" t="str">
        <f aca="false">IF(J81=0,"",J81)</f>
        <v/>
      </c>
      <c r="N81" s="1217" t="str">
        <f aca="false">IF(K81=0,"",K81)</f>
        <v/>
      </c>
      <c r="O81" s="1230" t="s">
        <v>2064</v>
      </c>
      <c r="P81" s="1230"/>
      <c r="Q81" s="1230"/>
      <c r="R81" s="1230"/>
      <c r="S81" s="1230"/>
      <c r="T81" s="1214" t="s">
        <v>2182</v>
      </c>
      <c r="U81" s="1214"/>
      <c r="V81" s="1214"/>
      <c r="W81" s="1214"/>
      <c r="X81" s="1214"/>
      <c r="Y81" s="1218"/>
      <c r="Z81" s="1198" t="s">
        <v>2183</v>
      </c>
      <c r="AA81" s="1205"/>
      <c r="AB81" s="1198"/>
      <c r="AC81" s="1198"/>
      <c r="AD81" s="1198"/>
    </row>
    <row r="82" customFormat="false" ht="90" hidden="false" customHeight="true" outlineLevel="0" collapsed="false">
      <c r="A82" s="1216"/>
      <c r="B82" s="1219" t="n">
        <v>65</v>
      </c>
      <c r="C82" s="1214" t="s">
        <v>2167</v>
      </c>
      <c r="D82" s="1227"/>
      <c r="E82" s="1214"/>
      <c r="F82" s="1214"/>
      <c r="G82" s="1214"/>
      <c r="H82" s="1232"/>
      <c r="I82" s="1229" t="n">
        <f aca="false">INDEX(TEMPLATE_NUMBER_POINT_FHD,B82,MATCH(TEMPLATE_SPHERE,TEMPLATE_SPHERE_LIST_FOR_NOTE,0))</f>
        <v>0</v>
      </c>
      <c r="J82" s="1229" t="n">
        <f aca="false">INDEX(TEMPLATE_DATA_POINT_FHD,B82,MATCH(TEMPLATE_SPHERE,TEMPLATE_SPHERE_LIST_FOR_NOTE,0))</f>
        <v>0</v>
      </c>
      <c r="K82" s="1229" t="n">
        <f aca="false">INDEX(TEMPLATE_NOTE_POINT_FHD,B82,MATCH(TEMPLATE_SPHERE,TEMPLATE_SPHERE_LIST_FOR_NOTE,0))</f>
        <v>0</v>
      </c>
      <c r="L82" s="1217" t="str">
        <f aca="false">IF(I82=0,"",I82)</f>
        <v/>
      </c>
      <c r="M82" s="1217" t="str">
        <f aca="false">IF(J82=0,"",J82)</f>
        <v/>
      </c>
      <c r="N82" s="1217" t="str">
        <f aca="false">IF(K82=0,"",K82)</f>
        <v/>
      </c>
      <c r="O82" s="1230" t="s">
        <v>148</v>
      </c>
      <c r="P82" s="1230"/>
      <c r="Q82" s="1230"/>
      <c r="R82" s="1230"/>
      <c r="S82" s="1230"/>
      <c r="T82" s="1214" t="s">
        <v>2184</v>
      </c>
      <c r="U82" s="1214"/>
      <c r="V82" s="1214"/>
      <c r="W82" s="1214"/>
      <c r="X82" s="1214"/>
      <c r="Y82" s="1218"/>
      <c r="Z82" s="1198" t="s">
        <v>2185</v>
      </c>
      <c r="AA82" s="1205"/>
      <c r="AB82" s="1198"/>
      <c r="AC82" s="1198"/>
      <c r="AD82" s="1198"/>
    </row>
    <row r="83" customFormat="false" ht="9" hidden="false" customHeight="true" outlineLevel="0" collapsed="false">
      <c r="A83" s="1216"/>
      <c r="B83" s="1219" t="n">
        <v>66</v>
      </c>
      <c r="C83" s="1214"/>
      <c r="D83" s="1227"/>
      <c r="E83" s="1214"/>
      <c r="F83" s="1214"/>
      <c r="G83" s="1214"/>
      <c r="H83" s="1232"/>
      <c r="I83" s="1229" t="n">
        <f aca="false">INDEX(TEMPLATE_NUMBER_POINT_FHD,B83,MATCH(TEMPLATE_SPHERE,TEMPLATE_SPHERE_LIST_FOR_NOTE,0))</f>
        <v>0</v>
      </c>
      <c r="J83" s="1229" t="n">
        <f aca="false">INDEX(TEMPLATE_DATA_POINT_FHD,B83,MATCH(TEMPLATE_SPHERE,TEMPLATE_SPHERE_LIST_FOR_NOTE,0))</f>
        <v>0</v>
      </c>
      <c r="K83" s="1229" t="n">
        <f aca="false">INDEX(TEMPLATE_NOTE_POINT_FHD,B83,MATCH(TEMPLATE_SPHERE,TEMPLATE_SPHERE_LIST_FOR_NOTE,0))</f>
        <v>0</v>
      </c>
      <c r="L83" s="1217" t="str">
        <f aca="false">IF(I83=0,"",I83)</f>
        <v/>
      </c>
      <c r="M83" s="1217" t="str">
        <f aca="false">IF(J83=0,"",J83)</f>
        <v/>
      </c>
      <c r="N83" s="1217" t="str">
        <f aca="false">IF(K83=0,"",K83)</f>
        <v/>
      </c>
      <c r="O83" s="1230" t="s">
        <v>2073</v>
      </c>
      <c r="P83" s="1230"/>
      <c r="Q83" s="1230"/>
      <c r="R83" s="1230"/>
      <c r="S83" s="1230"/>
      <c r="T83" s="1214" t="s">
        <v>2186</v>
      </c>
      <c r="U83" s="1214"/>
      <c r="V83" s="1214"/>
      <c r="W83" s="1214"/>
      <c r="X83" s="1214"/>
      <c r="Y83" s="1218"/>
      <c r="Z83" s="1198"/>
      <c r="AA83" s="1205"/>
      <c r="AB83" s="1198"/>
      <c r="AC83" s="1198"/>
      <c r="AD83" s="1198"/>
    </row>
    <row r="84" customFormat="false" ht="54" hidden="false" customHeight="true" outlineLevel="0" collapsed="false">
      <c r="A84" s="1216"/>
      <c r="B84" s="1219" t="n">
        <v>67</v>
      </c>
      <c r="C84" s="1214"/>
      <c r="D84" s="1227"/>
      <c r="E84" s="1214"/>
      <c r="F84" s="1214"/>
      <c r="G84" s="1214"/>
      <c r="H84" s="1232"/>
      <c r="I84" s="1229" t="n">
        <f aca="false">INDEX(TEMPLATE_NUMBER_POINT_FHD,B84,MATCH(TEMPLATE_SPHERE,TEMPLATE_SPHERE_LIST_FOR_NOTE,0))</f>
        <v>0</v>
      </c>
      <c r="J84" s="1229" t="n">
        <f aca="false">INDEX(TEMPLATE_DATA_POINT_FHD,B84,MATCH(TEMPLATE_SPHERE,TEMPLATE_SPHERE_LIST_FOR_NOTE,0))</f>
        <v>0</v>
      </c>
      <c r="K84" s="1229" t="n">
        <f aca="false">INDEX(TEMPLATE_NOTE_POINT_FHD,B84,MATCH(TEMPLATE_SPHERE,TEMPLATE_SPHERE_LIST_FOR_NOTE,0))</f>
        <v>0</v>
      </c>
      <c r="L84" s="1217" t="str">
        <f aca="false">IF(I84=0,"",I84)</f>
        <v/>
      </c>
      <c r="M84" s="1217" t="str">
        <f aca="false">IF(J84=0,"",J84)</f>
        <v/>
      </c>
      <c r="N84" s="1217" t="str">
        <f aca="false">IF(K84=0,"",K84)</f>
        <v/>
      </c>
      <c r="O84" s="1230" t="s">
        <v>2187</v>
      </c>
      <c r="P84" s="1230"/>
      <c r="Q84" s="1230"/>
      <c r="R84" s="1230"/>
      <c r="S84" s="1230"/>
      <c r="T84" s="1214" t="s">
        <v>2188</v>
      </c>
      <c r="U84" s="1214"/>
      <c r="V84" s="1214"/>
      <c r="W84" s="1214"/>
      <c r="X84" s="1214"/>
      <c r="Y84" s="1218"/>
      <c r="Z84" s="1198"/>
      <c r="AA84" s="1205"/>
      <c r="AB84" s="1198"/>
      <c r="AC84" s="1198"/>
      <c r="AD84" s="1198"/>
    </row>
    <row r="85" customFormat="false" ht="9" hidden="false" customHeight="true" outlineLevel="0" collapsed="false">
      <c r="A85" s="1216"/>
      <c r="B85" s="1219" t="n">
        <v>68</v>
      </c>
      <c r="C85" s="1214"/>
      <c r="D85" s="1227"/>
      <c r="E85" s="1214"/>
      <c r="F85" s="1214"/>
      <c r="G85" s="1214"/>
      <c r="H85" s="1232"/>
      <c r="I85" s="1229" t="n">
        <f aca="false">INDEX(TEMPLATE_NUMBER_POINT_FHD,B85,MATCH(TEMPLATE_SPHERE,TEMPLATE_SPHERE_LIST_FOR_NOTE,0))</f>
        <v>0</v>
      </c>
      <c r="J85" s="1229" t="n">
        <f aca="false">INDEX(TEMPLATE_DATA_POINT_FHD,B85,MATCH(TEMPLATE_SPHERE,TEMPLATE_SPHERE_LIST_FOR_NOTE,0))</f>
        <v>0</v>
      </c>
      <c r="K85" s="1229" t="n">
        <f aca="false">INDEX(TEMPLATE_NOTE_POINT_FHD,B85,MATCH(TEMPLATE_SPHERE,TEMPLATE_SPHERE_LIST_FOR_NOTE,0))</f>
        <v>0</v>
      </c>
      <c r="L85" s="1217" t="str">
        <f aca="false">IF(I85=0,"",I85)</f>
        <v/>
      </c>
      <c r="M85" s="1217" t="str">
        <f aca="false">IF(J85=0,"",J85)</f>
        <v/>
      </c>
      <c r="N85" s="1217" t="str">
        <f aca="false">IF(K85=0,"",K85)</f>
        <v/>
      </c>
      <c r="O85" s="1230" t="s">
        <v>2077</v>
      </c>
      <c r="P85" s="1230"/>
      <c r="Q85" s="1230"/>
      <c r="R85" s="1230"/>
      <c r="S85" s="1230"/>
      <c r="T85" s="1214" t="s">
        <v>2189</v>
      </c>
      <c r="U85" s="1214"/>
      <c r="V85" s="1214"/>
      <c r="W85" s="1214"/>
      <c r="X85" s="1214"/>
      <c r="Y85" s="1218"/>
      <c r="Z85" s="1198"/>
      <c r="AA85" s="1205"/>
      <c r="AB85" s="1198"/>
      <c r="AC85" s="1198"/>
      <c r="AD85" s="1198"/>
    </row>
    <row r="86" customFormat="false" ht="27" hidden="false" customHeight="true" outlineLevel="0" collapsed="false">
      <c r="A86" s="1216"/>
      <c r="B86" s="1219" t="n">
        <v>69</v>
      </c>
      <c r="C86" s="1214"/>
      <c r="D86" s="1227"/>
      <c r="E86" s="1214"/>
      <c r="F86" s="1214"/>
      <c r="G86" s="1214"/>
      <c r="H86" s="1232"/>
      <c r="I86" s="1229" t="n">
        <f aca="false">INDEX(TEMPLATE_NUMBER_POINT_FHD,B86,MATCH(TEMPLATE_SPHERE,TEMPLATE_SPHERE_LIST_FOR_NOTE,0))</f>
        <v>0</v>
      </c>
      <c r="J86" s="1229" t="n">
        <f aca="false">INDEX(TEMPLATE_DATA_POINT_FHD,B86,MATCH(TEMPLATE_SPHERE,TEMPLATE_SPHERE_LIST_FOR_NOTE,0))</f>
        <v>0</v>
      </c>
      <c r="K86" s="1229" t="n">
        <f aca="false">INDEX(TEMPLATE_NOTE_POINT_FHD,B86,MATCH(TEMPLATE_SPHERE,TEMPLATE_SPHERE_LIST_FOR_NOTE,0))</f>
        <v>0</v>
      </c>
      <c r="L86" s="1217" t="str">
        <f aca="false">IF(I86=0,"",I86)</f>
        <v/>
      </c>
      <c r="M86" s="1217" t="str">
        <f aca="false">IF(J86=0,"",J86)</f>
        <v/>
      </c>
      <c r="N86" s="1217" t="str">
        <f aca="false">IF(K86=0,"",K86)</f>
        <v/>
      </c>
      <c r="O86" s="1230" t="s">
        <v>2190</v>
      </c>
      <c r="P86" s="1230"/>
      <c r="Q86" s="1230"/>
      <c r="R86" s="1230"/>
      <c r="S86" s="1230"/>
      <c r="T86" s="1214" t="s">
        <v>2191</v>
      </c>
      <c r="U86" s="1214"/>
      <c r="V86" s="1214"/>
      <c r="W86" s="1214"/>
      <c r="X86" s="1214"/>
      <c r="Y86" s="1218"/>
      <c r="Z86" s="1198"/>
      <c r="AA86" s="1205"/>
      <c r="AB86" s="1198"/>
      <c r="AC86" s="1198"/>
      <c r="AD86" s="1198"/>
    </row>
    <row r="87" customFormat="false" ht="36" hidden="false" customHeight="true" outlineLevel="0" collapsed="false">
      <c r="A87" s="1216"/>
      <c r="B87" s="1219" t="n">
        <v>70</v>
      </c>
      <c r="C87" s="1214" t="s">
        <v>2192</v>
      </c>
      <c r="D87" s="1227"/>
      <c r="E87" s="1214"/>
      <c r="F87" s="1214"/>
      <c r="G87" s="1214"/>
      <c r="H87" s="1232"/>
      <c r="I87" s="1229" t="n">
        <f aca="false">INDEX(TEMPLATE_NUMBER_POINT_FHD,B87,MATCH(TEMPLATE_SPHERE,TEMPLATE_SPHERE_LIST_FOR_NOTE,0))</f>
        <v>0</v>
      </c>
      <c r="J87" s="1229" t="n">
        <f aca="false">INDEX(TEMPLATE_DATA_POINT_FHD,B87,MATCH(TEMPLATE_SPHERE,TEMPLATE_SPHERE_LIST_FOR_NOTE,0))</f>
        <v>0</v>
      </c>
      <c r="K87" s="1229" t="n">
        <f aca="false">INDEX(TEMPLATE_NOTE_POINT_FHD,B87,MATCH(TEMPLATE_SPHERE,TEMPLATE_SPHERE_LIST_FOR_NOTE,0))</f>
        <v>0</v>
      </c>
      <c r="L87" s="1217" t="str">
        <f aca="false">IF(I87=0,"",I87)</f>
        <v/>
      </c>
      <c r="M87" s="1217" t="str">
        <f aca="false">IF(J87=0,"",J87)</f>
        <v/>
      </c>
      <c r="N87" s="1217" t="str">
        <f aca="false">IF(K87=0,"",K87)</f>
        <v/>
      </c>
      <c r="O87" s="1230" t="s">
        <v>149</v>
      </c>
      <c r="P87" s="1230"/>
      <c r="Q87" s="1230"/>
      <c r="R87" s="1230"/>
      <c r="S87" s="1230"/>
      <c r="T87" s="1214" t="s">
        <v>2193</v>
      </c>
      <c r="U87" s="1214"/>
      <c r="V87" s="1214"/>
      <c r="W87" s="1214"/>
      <c r="X87" s="1214"/>
      <c r="Y87" s="1218"/>
      <c r="Z87" s="1198"/>
      <c r="AA87" s="1205"/>
      <c r="AB87" s="1198"/>
      <c r="AC87" s="1198"/>
      <c r="AD87" s="1198"/>
    </row>
    <row r="88" customFormat="false" ht="18" hidden="false" customHeight="true" outlineLevel="0" collapsed="false">
      <c r="A88" s="1216"/>
      <c r="B88" s="1219" t="n">
        <v>71</v>
      </c>
      <c r="C88" s="1214" t="s">
        <v>2194</v>
      </c>
      <c r="D88" s="1227"/>
      <c r="E88" s="1214"/>
      <c r="F88" s="1214"/>
      <c r="G88" s="1214"/>
      <c r="H88" s="1232"/>
      <c r="I88" s="1229" t="n">
        <f aca="false">INDEX(TEMPLATE_NUMBER_POINT_FHD,B88,MATCH(TEMPLATE_SPHERE,TEMPLATE_SPHERE_LIST_FOR_NOTE,0))</f>
        <v>0</v>
      </c>
      <c r="J88" s="1229" t="n">
        <f aca="false">INDEX(TEMPLATE_DATA_POINT_FHD,B88,MATCH(TEMPLATE_SPHERE,TEMPLATE_SPHERE_LIST_FOR_NOTE,0))</f>
        <v>0</v>
      </c>
      <c r="K88" s="1229" t="n">
        <f aca="false">INDEX(TEMPLATE_NOTE_POINT_FHD,B88,MATCH(TEMPLATE_SPHERE,TEMPLATE_SPHERE_LIST_FOR_NOTE,0))</f>
        <v>0</v>
      </c>
      <c r="L88" s="1217" t="str">
        <f aca="false">IF(I88=0,"",I88)</f>
        <v/>
      </c>
      <c r="M88" s="1217" t="str">
        <f aca="false">IF(J88=0,"",J88)</f>
        <v/>
      </c>
      <c r="N88" s="1217" t="str">
        <f aca="false">IF(K88=0,"",K88)</f>
        <v/>
      </c>
      <c r="O88" s="1230" t="s">
        <v>150</v>
      </c>
      <c r="P88" s="1230"/>
      <c r="Q88" s="1230"/>
      <c r="R88" s="1230"/>
      <c r="S88" s="1230"/>
      <c r="T88" s="1214" t="s">
        <v>663</v>
      </c>
      <c r="U88" s="1214"/>
      <c r="V88" s="1214"/>
      <c r="W88" s="1214"/>
      <c r="X88" s="1214"/>
      <c r="Y88" s="1218"/>
      <c r="Z88" s="1198"/>
      <c r="AA88" s="1205"/>
      <c r="AB88" s="1198"/>
      <c r="AC88" s="1198"/>
      <c r="AD88" s="1198"/>
    </row>
    <row r="89" customFormat="false" ht="18" hidden="false" customHeight="true" outlineLevel="0" collapsed="false">
      <c r="A89" s="1216"/>
      <c r="B89" s="1219" t="n">
        <v>72</v>
      </c>
      <c r="C89" s="1214" t="s">
        <v>2195</v>
      </c>
      <c r="D89" s="1227" t="s">
        <v>2192</v>
      </c>
      <c r="E89" s="1214" t="s">
        <v>2192</v>
      </c>
      <c r="F89" s="1214" t="s">
        <v>2158</v>
      </c>
      <c r="G89" s="1214"/>
      <c r="H89" s="1232"/>
      <c r="I89" s="1229" t="str">
        <f aca="false">INDEX(TEMPLATE_NUMBER_POINT_FHD,B89,MATCH(TEMPLATE_SPHERE,TEMPLATE_SPHERE_LIST_FOR_NOTE,0))</f>
        <v>10</v>
      </c>
      <c r="J89" s="1229" t="str">
        <f aca="false">INDEX(TEMPLATE_DATA_POINT_FHD,B89,MATCH(TEMPLATE_SPHERE,TEMPLATE_SPHERE_LIST_FOR_NOTE,0))</f>
        <v>Среднесписочная численность основного производственного персонала</v>
      </c>
      <c r="K89" s="1229" t="n">
        <f aca="false">INDEX(TEMPLATE_NOTE_POINT_FHD,B89,MATCH(TEMPLATE_SPHERE,TEMPLATE_SPHERE_LIST_FOR_NOTE,0))</f>
        <v>0</v>
      </c>
      <c r="L89" s="1217" t="str">
        <f aca="false">IF(I89=0,"",I89)</f>
        <v>10</v>
      </c>
      <c r="M89" s="1217" t="str">
        <f aca="false">IF(J89=0,"",J89)</f>
        <v>Среднесписочная численность основного производственного персонала</v>
      </c>
      <c r="N89" s="1217" t="str">
        <f aca="false">IF(K89=0,"",K89)</f>
        <v/>
      </c>
      <c r="O89" s="1230" t="s">
        <v>151</v>
      </c>
      <c r="P89" s="1230" t="s">
        <v>150</v>
      </c>
      <c r="Q89" s="1230" t="s">
        <v>150</v>
      </c>
      <c r="R89" s="1230" t="s">
        <v>148</v>
      </c>
      <c r="S89" s="1230"/>
      <c r="T89" s="1214" t="s">
        <v>671</v>
      </c>
      <c r="U89" s="1214" t="s">
        <v>671</v>
      </c>
      <c r="V89" s="1214" t="s">
        <v>671</v>
      </c>
      <c r="W89" s="1214" t="s">
        <v>671</v>
      </c>
      <c r="X89" s="1214"/>
      <c r="Y89" s="1218"/>
      <c r="Z89" s="1198"/>
      <c r="AA89" s="1205"/>
      <c r="AB89" s="1198"/>
      <c r="AC89" s="1198"/>
      <c r="AD89" s="1198"/>
    </row>
    <row r="90" customFormat="false" ht="27" hidden="false" customHeight="true" outlineLevel="0" collapsed="false">
      <c r="A90" s="1216"/>
      <c r="B90" s="1219" t="n">
        <v>73</v>
      </c>
      <c r="C90" s="1214" t="s">
        <v>2196</v>
      </c>
      <c r="D90" s="1227"/>
      <c r="E90" s="1214"/>
      <c r="F90" s="1214"/>
      <c r="G90" s="1214"/>
      <c r="H90" s="1232"/>
      <c r="I90" s="1229" t="n">
        <f aca="false">INDEX(TEMPLATE_NUMBER_POINT_FHD,B90,MATCH(TEMPLATE_SPHERE,TEMPLATE_SPHERE_LIST_FOR_NOTE,0))</f>
        <v>0</v>
      </c>
      <c r="J90" s="1229" t="n">
        <f aca="false">INDEX(TEMPLATE_DATA_POINT_FHD,B90,MATCH(TEMPLATE_SPHERE,TEMPLATE_SPHERE_LIST_FOR_NOTE,0))</f>
        <v>0</v>
      </c>
      <c r="K90" s="1229" t="n">
        <f aca="false">INDEX(TEMPLATE_NOTE_POINT_FHD,B90,MATCH(TEMPLATE_SPHERE,TEMPLATE_SPHERE_LIST_FOR_NOTE,0))</f>
        <v>0</v>
      </c>
      <c r="L90" s="1217" t="str">
        <f aca="false">IF(I90=0,"",I90)</f>
        <v/>
      </c>
      <c r="M90" s="1217" t="str">
        <f aca="false">IF(J90=0,"",J90)</f>
        <v/>
      </c>
      <c r="N90" s="1217" t="str">
        <f aca="false">IF(K90=0,"",K90)</f>
        <v/>
      </c>
      <c r="O90" s="1230" t="s">
        <v>152</v>
      </c>
      <c r="P90" s="1230"/>
      <c r="Q90" s="1230"/>
      <c r="R90" s="1230"/>
      <c r="S90" s="1230"/>
      <c r="T90" s="1214" t="s">
        <v>673</v>
      </c>
      <c r="U90" s="1214"/>
      <c r="V90" s="1214"/>
      <c r="W90" s="1214"/>
      <c r="X90" s="1214"/>
      <c r="Y90" s="1218"/>
      <c r="Z90" s="1198"/>
      <c r="AA90" s="1205"/>
      <c r="AB90" s="1198"/>
      <c r="AC90" s="1198"/>
      <c r="AD90" s="1198"/>
    </row>
    <row r="91" customFormat="false" ht="18" hidden="false" customHeight="true" outlineLevel="0" collapsed="false">
      <c r="A91" s="1216"/>
      <c r="B91" s="1219" t="n">
        <v>74</v>
      </c>
      <c r="C91" s="1214"/>
      <c r="D91" s="1227" t="s">
        <v>2194</v>
      </c>
      <c r="E91" s="1214" t="s">
        <v>2194</v>
      </c>
      <c r="F91" s="1214"/>
      <c r="G91" s="1214"/>
      <c r="H91" s="1232"/>
      <c r="I91" s="1229" t="n">
        <f aca="false">INDEX(TEMPLATE_NUMBER_POINT_FHD,B91,MATCH(TEMPLATE_SPHERE,TEMPLATE_SPHERE_LIST_FOR_NOTE,0))</f>
        <v>0</v>
      </c>
      <c r="J91" s="1229" t="n">
        <f aca="false">INDEX(TEMPLATE_DATA_POINT_FHD,B91,MATCH(TEMPLATE_SPHERE,TEMPLATE_SPHERE_LIST_FOR_NOTE,0))</f>
        <v>0</v>
      </c>
      <c r="K91" s="1229" t="n">
        <f aca="false">INDEX(TEMPLATE_NOTE_POINT_FHD,B91,MATCH(TEMPLATE_SPHERE,TEMPLATE_SPHERE_LIST_FOR_NOTE,0))</f>
        <v>0</v>
      </c>
      <c r="L91" s="1217" t="str">
        <f aca="false">IF(I91=0,"",I91)</f>
        <v/>
      </c>
      <c r="M91" s="1217" t="str">
        <f aca="false">IF(J91=0,"",J91)</f>
        <v/>
      </c>
      <c r="N91" s="1217" t="str">
        <f aca="false">IF(K91=0,"",K91)</f>
        <v/>
      </c>
      <c r="O91" s="1230"/>
      <c r="P91" s="1230" t="s">
        <v>151</v>
      </c>
      <c r="Q91" s="1230" t="s">
        <v>151</v>
      </c>
      <c r="R91" s="1230"/>
      <c r="S91" s="1230"/>
      <c r="T91" s="1214"/>
      <c r="U91" s="1214" t="s">
        <v>2197</v>
      </c>
      <c r="V91" s="1214" t="s">
        <v>2197</v>
      </c>
      <c r="W91" s="1214"/>
      <c r="X91" s="1214"/>
      <c r="Y91" s="1218"/>
      <c r="Z91" s="1198"/>
      <c r="AA91" s="1205"/>
      <c r="AB91" s="1198"/>
      <c r="AC91" s="1198"/>
      <c r="AD91" s="1198"/>
    </row>
    <row r="92" customFormat="false" ht="27" hidden="false" customHeight="true" outlineLevel="0" collapsed="false">
      <c r="A92" s="1216"/>
      <c r="B92" s="1219" t="n">
        <v>75</v>
      </c>
      <c r="C92" s="1214"/>
      <c r="D92" s="1227" t="s">
        <v>2195</v>
      </c>
      <c r="E92" s="1214"/>
      <c r="F92" s="1214"/>
      <c r="G92" s="1214"/>
      <c r="H92" s="1232"/>
      <c r="I92" s="1229" t="n">
        <f aca="false">INDEX(TEMPLATE_NUMBER_POINT_FHD,B92,MATCH(TEMPLATE_SPHERE,TEMPLATE_SPHERE_LIST_FOR_NOTE,0))</f>
        <v>0</v>
      </c>
      <c r="J92" s="1229" t="n">
        <f aca="false">INDEX(TEMPLATE_DATA_POINT_FHD,B92,MATCH(TEMPLATE_SPHERE,TEMPLATE_SPHERE_LIST_FOR_NOTE,0))</f>
        <v>0</v>
      </c>
      <c r="K92" s="1229" t="n">
        <f aca="false">INDEX(TEMPLATE_NOTE_POINT_FHD,B92,MATCH(TEMPLATE_SPHERE,TEMPLATE_SPHERE_LIST_FOR_NOTE,0))</f>
        <v>0</v>
      </c>
      <c r="L92" s="1217" t="str">
        <f aca="false">IF(I92=0,"",I92)</f>
        <v/>
      </c>
      <c r="M92" s="1217" t="str">
        <f aca="false">IF(J92=0,"",J92)</f>
        <v/>
      </c>
      <c r="N92" s="1217" t="str">
        <f aca="false">IF(K92=0,"",K92)</f>
        <v/>
      </c>
      <c r="O92" s="1230"/>
      <c r="P92" s="1230" t="s">
        <v>152</v>
      </c>
      <c r="Q92" s="1230"/>
      <c r="R92" s="1230"/>
      <c r="S92" s="1230"/>
      <c r="T92" s="1214"/>
      <c r="U92" s="1214" t="s">
        <v>2198</v>
      </c>
      <c r="V92" s="1214"/>
      <c r="W92" s="1214"/>
      <c r="X92" s="1214"/>
      <c r="Y92" s="1218"/>
      <c r="Z92" s="1198"/>
      <c r="AA92" s="1205" t="s">
        <v>2199</v>
      </c>
      <c r="AB92" s="1198"/>
      <c r="AC92" s="1198"/>
      <c r="AD92" s="1198"/>
    </row>
    <row r="93" customFormat="false" ht="27" hidden="false" customHeight="true" outlineLevel="0" collapsed="false">
      <c r="A93" s="1216"/>
      <c r="B93" s="1219" t="n">
        <v>76</v>
      </c>
      <c r="C93" s="1214"/>
      <c r="D93" s="1227"/>
      <c r="E93" s="1214"/>
      <c r="F93" s="1214"/>
      <c r="G93" s="1214"/>
      <c r="H93" s="1232"/>
      <c r="I93" s="1229" t="n">
        <f aca="false">INDEX(TEMPLATE_NUMBER_POINT_FHD,B93,MATCH(TEMPLATE_SPHERE,TEMPLATE_SPHERE_LIST_FOR_NOTE,0))</f>
        <v>0</v>
      </c>
      <c r="J93" s="1229" t="n">
        <f aca="false">INDEX(TEMPLATE_DATA_POINT_FHD,B93,MATCH(TEMPLATE_SPHERE,TEMPLATE_SPHERE_LIST_FOR_NOTE,0))</f>
        <v>0</v>
      </c>
      <c r="K93" s="1229" t="n">
        <f aca="false">INDEX(TEMPLATE_NOTE_POINT_FHD,B93,MATCH(TEMPLATE_SPHERE,TEMPLATE_SPHERE_LIST_FOR_NOTE,0))</f>
        <v>0</v>
      </c>
      <c r="L93" s="1217" t="str">
        <f aca="false">IF(I93=0,"",I93)</f>
        <v/>
      </c>
      <c r="M93" s="1217" t="str">
        <f aca="false">IF(J93=0,"",J93)</f>
        <v/>
      </c>
      <c r="N93" s="1217" t="str">
        <f aca="false">IF(K93=0,"",K93)</f>
        <v/>
      </c>
      <c r="O93" s="1230"/>
      <c r="P93" s="1230" t="s">
        <v>2105</v>
      </c>
      <c r="Q93" s="1230"/>
      <c r="R93" s="1230"/>
      <c r="S93" s="1230"/>
      <c r="T93" s="1214"/>
      <c r="U93" s="1214" t="s">
        <v>2200</v>
      </c>
      <c r="V93" s="1214"/>
      <c r="W93" s="1214"/>
      <c r="X93" s="1214"/>
      <c r="Y93" s="1218"/>
      <c r="Z93" s="1198"/>
      <c r="AA93" s="1205" t="s">
        <v>2201</v>
      </c>
      <c r="AB93" s="1198"/>
      <c r="AC93" s="1198"/>
      <c r="AD93" s="1198"/>
    </row>
    <row r="94" customFormat="false" ht="45" hidden="false" customHeight="true" outlineLevel="0" collapsed="false">
      <c r="A94" s="1216"/>
      <c r="B94" s="1219" t="n">
        <v>77</v>
      </c>
      <c r="C94" s="1214"/>
      <c r="D94" s="1227" t="s">
        <v>2196</v>
      </c>
      <c r="E94" s="1214"/>
      <c r="F94" s="1214"/>
      <c r="G94" s="1214"/>
      <c r="H94" s="1232"/>
      <c r="I94" s="1229" t="n">
        <f aca="false">INDEX(TEMPLATE_NUMBER_POINT_FHD,B94,MATCH(TEMPLATE_SPHERE,TEMPLATE_SPHERE_LIST_FOR_NOTE,0))</f>
        <v>0</v>
      </c>
      <c r="J94" s="1229" t="n">
        <f aca="false">INDEX(TEMPLATE_DATA_POINT_FHD,B94,MATCH(TEMPLATE_SPHERE,TEMPLATE_SPHERE_LIST_FOR_NOTE,0))</f>
        <v>0</v>
      </c>
      <c r="K94" s="1229" t="n">
        <f aca="false">INDEX(TEMPLATE_NOTE_POINT_FHD,B94,MATCH(TEMPLATE_SPHERE,TEMPLATE_SPHERE_LIST_FOR_NOTE,0))</f>
        <v>0</v>
      </c>
      <c r="L94" s="1217" t="str">
        <f aca="false">IF(I94=0,"",I94)</f>
        <v/>
      </c>
      <c r="M94" s="1217" t="str">
        <f aca="false">IF(J94=0,"",J94)</f>
        <v/>
      </c>
      <c r="N94" s="1217" t="str">
        <f aca="false">IF(K94=0,"",K94)</f>
        <v/>
      </c>
      <c r="O94" s="1230"/>
      <c r="P94" s="1230" t="s">
        <v>1460</v>
      </c>
      <c r="Q94" s="1230"/>
      <c r="R94" s="1230"/>
      <c r="S94" s="1230"/>
      <c r="T94" s="1214"/>
      <c r="U94" s="1214" t="s">
        <v>2202</v>
      </c>
      <c r="V94" s="1214"/>
      <c r="W94" s="1214"/>
      <c r="X94" s="1214"/>
      <c r="Y94" s="1218"/>
      <c r="Z94" s="1198"/>
      <c r="AA94" s="1205" t="s">
        <v>2203</v>
      </c>
      <c r="AB94" s="1198"/>
      <c r="AC94" s="1198"/>
      <c r="AD94" s="1198"/>
    </row>
    <row r="95" customFormat="false" ht="99" hidden="false" customHeight="true" outlineLevel="0" collapsed="false">
      <c r="A95" s="1216"/>
      <c r="B95" s="1219" t="n">
        <v>78</v>
      </c>
      <c r="C95" s="1214" t="s">
        <v>2204</v>
      </c>
      <c r="D95" s="1227"/>
      <c r="E95" s="1214"/>
      <c r="F95" s="1214"/>
      <c r="G95" s="1214"/>
      <c r="H95" s="1232"/>
      <c r="I95" s="1229" t="n">
        <f aca="false">INDEX(TEMPLATE_NUMBER_POINT_FHD,B95,MATCH(TEMPLATE_SPHERE,TEMPLATE_SPHERE_LIST_FOR_NOTE,0))</f>
        <v>0</v>
      </c>
      <c r="J95" s="1229" t="n">
        <f aca="false">INDEX(TEMPLATE_DATA_POINT_FHD,B95,MATCH(TEMPLATE_SPHERE,TEMPLATE_SPHERE_LIST_FOR_NOTE,0))</f>
        <v>0</v>
      </c>
      <c r="K95" s="1229" t="n">
        <f aca="false">INDEX(TEMPLATE_NOTE_POINT_FHD,B95,MATCH(TEMPLATE_SPHERE,TEMPLATE_SPHERE_LIST_FOR_NOTE,0))</f>
        <v>0</v>
      </c>
      <c r="L95" s="1217" t="str">
        <f aca="false">IF(I95=0,"",I95)</f>
        <v/>
      </c>
      <c r="M95" s="1217" t="str">
        <f aca="false">IF(J95=0,"",J95)</f>
        <v/>
      </c>
      <c r="N95" s="1217" t="str">
        <f aca="false">IF(K95=0,"",K95)</f>
        <v/>
      </c>
      <c r="O95" s="1230" t="s">
        <v>1460</v>
      </c>
      <c r="P95" s="1230"/>
      <c r="Q95" s="1230"/>
      <c r="R95" s="1230"/>
      <c r="S95" s="1230"/>
      <c r="T95" s="1214" t="s">
        <v>2205</v>
      </c>
      <c r="U95" s="1214"/>
      <c r="V95" s="1214"/>
      <c r="W95" s="1214"/>
      <c r="X95" s="1214"/>
      <c r="Y95" s="1218"/>
      <c r="Z95" s="1198"/>
      <c r="AA95" s="1205"/>
      <c r="AB95" s="1198"/>
      <c r="AC95" s="1198"/>
      <c r="AD95" s="1198"/>
    </row>
    <row r="96" customFormat="false" ht="99" hidden="false" customHeight="true" outlineLevel="0" collapsed="false">
      <c r="A96" s="1216"/>
      <c r="B96" s="1219" t="n">
        <v>79</v>
      </c>
      <c r="C96" s="1214" t="s">
        <v>1146</v>
      </c>
      <c r="D96" s="1227"/>
      <c r="E96" s="1214"/>
      <c r="F96" s="1214"/>
      <c r="G96" s="1214"/>
      <c r="H96" s="1232"/>
      <c r="I96" s="1229" t="n">
        <f aca="false">INDEX(TEMPLATE_NUMBER_POINT_FHD,B96,MATCH(TEMPLATE_SPHERE,TEMPLATE_SPHERE_LIST_FOR_NOTE,0))</f>
        <v>0</v>
      </c>
      <c r="J96" s="1229" t="n">
        <f aca="false">INDEX(TEMPLATE_DATA_POINT_FHD,B96,MATCH(TEMPLATE_SPHERE,TEMPLATE_SPHERE_LIST_FOR_NOTE,0))</f>
        <v>0</v>
      </c>
      <c r="K96" s="1229" t="n">
        <f aca="false">INDEX(TEMPLATE_NOTE_POINT_FHD,B96,MATCH(TEMPLATE_SPHERE,TEMPLATE_SPHERE_LIST_FOR_NOTE,0))</f>
        <v>0</v>
      </c>
      <c r="L96" s="1217" t="str">
        <f aca="false">IF(I96=0,"",I96)</f>
        <v/>
      </c>
      <c r="M96" s="1217" t="str">
        <f aca="false">IF(J96=0,"",J96)</f>
        <v/>
      </c>
      <c r="N96" s="1217" t="str">
        <f aca="false">IF(K96=0,"",K96)</f>
        <v/>
      </c>
      <c r="O96" s="1230" t="s">
        <v>1466</v>
      </c>
      <c r="P96" s="1230"/>
      <c r="Q96" s="1230"/>
      <c r="R96" s="1230"/>
      <c r="S96" s="1230"/>
      <c r="T96" s="1214" t="s">
        <v>2206</v>
      </c>
      <c r="U96" s="1214"/>
      <c r="V96" s="1214"/>
      <c r="W96" s="1214"/>
      <c r="X96" s="1214"/>
      <c r="Y96" s="1218"/>
      <c r="Z96" s="1198" t="s">
        <v>2207</v>
      </c>
      <c r="AA96" s="1205"/>
      <c r="AB96" s="1198"/>
      <c r="AC96" s="1198"/>
      <c r="AD96" s="1198"/>
    </row>
    <row r="97" customFormat="false" ht="63" hidden="false" customHeight="true" outlineLevel="0" collapsed="false">
      <c r="A97" s="1216"/>
      <c r="B97" s="1219" t="n">
        <v>80</v>
      </c>
      <c r="C97" s="1214" t="s">
        <v>2208</v>
      </c>
      <c r="D97" s="1227"/>
      <c r="E97" s="1214"/>
      <c r="F97" s="1214"/>
      <c r="G97" s="1214"/>
      <c r="H97" s="1232"/>
      <c r="I97" s="1229" t="n">
        <f aca="false">INDEX(TEMPLATE_NUMBER_POINT_FHD,B97,MATCH(TEMPLATE_SPHERE,TEMPLATE_SPHERE_LIST_FOR_NOTE,0))</f>
        <v>0</v>
      </c>
      <c r="J97" s="1229" t="n">
        <f aca="false">INDEX(TEMPLATE_DATA_POINT_FHD,B97,MATCH(TEMPLATE_SPHERE,TEMPLATE_SPHERE_LIST_FOR_NOTE,0))</f>
        <v>0</v>
      </c>
      <c r="K97" s="1229" t="n">
        <f aca="false">INDEX(TEMPLATE_NOTE_POINT_FHD,B97,MATCH(TEMPLATE_SPHERE,TEMPLATE_SPHERE_LIST_FOR_NOTE,0))</f>
        <v>0</v>
      </c>
      <c r="L97" s="1217" t="str">
        <f aca="false">IF(I97=0,"",I97)</f>
        <v/>
      </c>
      <c r="M97" s="1217" t="str">
        <f aca="false">IF(J97=0,"",J97)</f>
        <v/>
      </c>
      <c r="N97" s="1217" t="str">
        <f aca="false">IF(K97=0,"",K97)</f>
        <v/>
      </c>
      <c r="O97" s="1230" t="s">
        <v>1478</v>
      </c>
      <c r="P97" s="1230"/>
      <c r="Q97" s="1230"/>
      <c r="R97" s="1230"/>
      <c r="S97" s="1230"/>
      <c r="T97" s="1214" t="s">
        <v>2209</v>
      </c>
      <c r="U97" s="1214"/>
      <c r="V97" s="1214"/>
      <c r="W97" s="1214"/>
      <c r="X97" s="1214"/>
      <c r="Y97" s="1218"/>
      <c r="Z97" s="1198" t="s">
        <v>2210</v>
      </c>
      <c r="AA97" s="1205"/>
      <c r="AB97" s="1198"/>
      <c r="AC97" s="1198"/>
      <c r="AD97" s="1198"/>
    </row>
    <row r="98" customFormat="false" ht="63" hidden="false" customHeight="true" outlineLevel="0" collapsed="false">
      <c r="A98" s="1216"/>
      <c r="B98" s="1219" t="n">
        <v>81</v>
      </c>
      <c r="C98" s="1214" t="s">
        <v>2211</v>
      </c>
      <c r="D98" s="1227"/>
      <c r="E98" s="1214"/>
      <c r="F98" s="1214"/>
      <c r="G98" s="1214"/>
      <c r="H98" s="1232"/>
      <c r="I98" s="1229" t="n">
        <f aca="false">INDEX(TEMPLATE_NUMBER_POINT_FHD,B98,MATCH(TEMPLATE_SPHERE,TEMPLATE_SPHERE_LIST_FOR_NOTE,0))</f>
        <v>0</v>
      </c>
      <c r="J98" s="1229" t="n">
        <f aca="false">INDEX(TEMPLATE_DATA_POINT_FHD,B98,MATCH(TEMPLATE_SPHERE,TEMPLATE_SPHERE_LIST_FOR_NOTE,0))</f>
        <v>0</v>
      </c>
      <c r="K98" s="1229" t="n">
        <f aca="false">INDEX(TEMPLATE_NOTE_POINT_FHD,B98,MATCH(TEMPLATE_SPHERE,TEMPLATE_SPHERE_LIST_FOR_NOTE,0))</f>
        <v>0</v>
      </c>
      <c r="L98" s="1217" t="str">
        <f aca="false">IF(I98=0,"",I98)</f>
        <v/>
      </c>
      <c r="M98" s="1217" t="str">
        <f aca="false">IF(J98=0,"",J98)</f>
        <v/>
      </c>
      <c r="N98" s="1217" t="str">
        <f aca="false">IF(K98=0,"",K98)</f>
        <v/>
      </c>
      <c r="O98" s="1230" t="s">
        <v>1492</v>
      </c>
      <c r="P98" s="1230"/>
      <c r="Q98" s="1230"/>
      <c r="R98" s="1230"/>
      <c r="S98" s="1230"/>
      <c r="T98" s="1214" t="s">
        <v>2212</v>
      </c>
      <c r="U98" s="1214"/>
      <c r="V98" s="1214"/>
      <c r="W98" s="1214"/>
      <c r="X98" s="1214"/>
      <c r="Y98" s="1218"/>
      <c r="Z98" s="1198" t="s">
        <v>2210</v>
      </c>
      <c r="AA98" s="1205"/>
      <c r="AB98" s="1198"/>
      <c r="AC98" s="1198"/>
      <c r="AD98" s="1198"/>
    </row>
    <row r="99" customFormat="false" ht="90" hidden="false" customHeight="true" outlineLevel="0" collapsed="false">
      <c r="A99" s="1216"/>
      <c r="B99" s="1219" t="n">
        <v>82</v>
      </c>
      <c r="C99" s="1214" t="s">
        <v>2213</v>
      </c>
      <c r="D99" s="1227"/>
      <c r="E99" s="1214"/>
      <c r="F99" s="1214"/>
      <c r="G99" s="1214"/>
      <c r="H99" s="1232"/>
      <c r="I99" s="1229" t="n">
        <f aca="false">INDEX(TEMPLATE_NUMBER_POINT_FHD,B99,MATCH(TEMPLATE_SPHERE,TEMPLATE_SPHERE_LIST_FOR_NOTE,0))</f>
        <v>0</v>
      </c>
      <c r="J99" s="1229" t="n">
        <f aca="false">INDEX(TEMPLATE_DATA_POINT_FHD,B99,MATCH(TEMPLATE_SPHERE,TEMPLATE_SPHERE_LIST_FOR_NOTE,0))</f>
        <v>0</v>
      </c>
      <c r="K99" s="1229" t="n">
        <f aca="false">INDEX(TEMPLATE_NOTE_POINT_FHD,B99,MATCH(TEMPLATE_SPHERE,TEMPLATE_SPHERE_LIST_FOR_NOTE,0))</f>
        <v>0</v>
      </c>
      <c r="L99" s="1217" t="str">
        <f aca="false">IF(I99=0,"",I99)</f>
        <v/>
      </c>
      <c r="M99" s="1217" t="str">
        <f aca="false">IF(J99=0,"",J99)</f>
        <v/>
      </c>
      <c r="N99" s="1217" t="str">
        <f aca="false">IF(K99=0,"",K99)</f>
        <v/>
      </c>
      <c r="O99" s="1230" t="s">
        <v>1504</v>
      </c>
      <c r="P99" s="1230"/>
      <c r="Q99" s="1230"/>
      <c r="R99" s="1230"/>
      <c r="S99" s="1230"/>
      <c r="T99" s="1214" t="s">
        <v>2214</v>
      </c>
      <c r="U99" s="1214"/>
      <c r="V99" s="1214"/>
      <c r="W99" s="1214"/>
      <c r="X99" s="1214"/>
      <c r="Y99" s="1218"/>
      <c r="Z99" s="1198" t="s">
        <v>628</v>
      </c>
      <c r="AA99" s="1205"/>
      <c r="AB99" s="1198"/>
      <c r="AC99" s="1198"/>
      <c r="AD99" s="1198"/>
    </row>
    <row r="100" customFormat="false" ht="27" hidden="false" customHeight="true" outlineLevel="0" collapsed="false">
      <c r="A100" s="1216"/>
      <c r="B100" s="1219" t="n">
        <v>83</v>
      </c>
      <c r="C100" s="1214"/>
      <c r="D100" s="1227"/>
      <c r="E100" s="1214"/>
      <c r="F100" s="1214"/>
      <c r="G100" s="1214"/>
      <c r="H100" s="1232"/>
      <c r="I100" s="1229" t="n">
        <f aca="false">INDEX(TEMPLATE_NUMBER_POINT_FHD,B100,MATCH(TEMPLATE_SPHERE,TEMPLATE_SPHERE_LIST_FOR_NOTE,0))</f>
        <v>0</v>
      </c>
      <c r="J100" s="1229" t="n">
        <f aca="false">INDEX(TEMPLATE_DATA_POINT_FHD,B100,MATCH(TEMPLATE_SPHERE,TEMPLATE_SPHERE_LIST_FOR_NOTE,0))</f>
        <v>0</v>
      </c>
      <c r="K100" s="1229" t="n">
        <f aca="false">INDEX(TEMPLATE_NOTE_POINT_FHD,B100,MATCH(TEMPLATE_SPHERE,TEMPLATE_SPHERE_LIST_FOR_NOTE,0))</f>
        <v>0</v>
      </c>
      <c r="L100" s="1217" t="str">
        <f aca="false">IF(I100=0,"",I100)</f>
        <v/>
      </c>
      <c r="M100" s="1217" t="str">
        <f aca="false">IF(J100=0,"",J100)</f>
        <v/>
      </c>
      <c r="N100" s="1217" t="str">
        <f aca="false">IF(K100=0,"",K100)</f>
        <v/>
      </c>
      <c r="O100" s="1230" t="s">
        <v>2215</v>
      </c>
      <c r="P100" s="1230"/>
      <c r="Q100" s="1230"/>
      <c r="R100" s="1230"/>
      <c r="S100" s="1230"/>
      <c r="T100" s="1214" t="s">
        <v>2216</v>
      </c>
      <c r="U100" s="1214"/>
      <c r="V100" s="1214"/>
      <c r="W100" s="1214"/>
      <c r="X100" s="1214"/>
      <c r="Y100" s="1218"/>
      <c r="Z100" s="1198" t="s">
        <v>628</v>
      </c>
      <c r="AA100" s="1205"/>
      <c r="AB100" s="1198"/>
      <c r="AC100" s="1198"/>
      <c r="AD100" s="1198"/>
    </row>
    <row r="101" customFormat="false" ht="27" hidden="false" customHeight="true" outlineLevel="0" collapsed="false">
      <c r="A101" s="1216"/>
      <c r="B101" s="1219" t="n">
        <v>84</v>
      </c>
      <c r="C101" s="1214"/>
      <c r="D101" s="1227"/>
      <c r="E101" s="1214"/>
      <c r="F101" s="1214"/>
      <c r="G101" s="1214"/>
      <c r="H101" s="1232"/>
      <c r="I101" s="1229" t="n">
        <f aca="false">INDEX(TEMPLATE_NUMBER_POINT_FHD,B101,MATCH(TEMPLATE_SPHERE,TEMPLATE_SPHERE_LIST_FOR_NOTE,0))</f>
        <v>0</v>
      </c>
      <c r="J101" s="1229" t="n">
        <f aca="false">INDEX(TEMPLATE_DATA_POINT_FHD,B101,MATCH(TEMPLATE_SPHERE,TEMPLATE_SPHERE_LIST_FOR_NOTE,0))</f>
        <v>0</v>
      </c>
      <c r="K101" s="1229" t="n">
        <f aca="false">INDEX(TEMPLATE_NOTE_POINT_FHD,B101,MATCH(TEMPLATE_SPHERE,TEMPLATE_SPHERE_LIST_FOR_NOTE,0))</f>
        <v>0</v>
      </c>
      <c r="L101" s="1217" t="str">
        <f aca="false">IF(I101=0,"",I101)</f>
        <v/>
      </c>
      <c r="M101" s="1217" t="str">
        <f aca="false">IF(J101=0,"",J101)</f>
        <v/>
      </c>
      <c r="N101" s="1217" t="str">
        <f aca="false">IF(K101=0,"",K101)</f>
        <v/>
      </c>
      <c r="O101" s="1230" t="s">
        <v>2217</v>
      </c>
      <c r="P101" s="1230"/>
      <c r="Q101" s="1230"/>
      <c r="R101" s="1230"/>
      <c r="S101" s="1230"/>
      <c r="T101" s="1214" t="s">
        <v>2218</v>
      </c>
      <c r="U101" s="1214"/>
      <c r="V101" s="1214"/>
      <c r="W101" s="1214"/>
      <c r="X101" s="1214"/>
      <c r="Y101" s="1218"/>
      <c r="Z101" s="1198" t="s">
        <v>628</v>
      </c>
      <c r="AA101" s="1205"/>
      <c r="AB101" s="1198"/>
      <c r="AC101" s="1198"/>
      <c r="AD101" s="1198"/>
    </row>
    <row r="102" customFormat="false" ht="9" hidden="false" customHeight="true" outlineLevel="0" collapsed="false">
      <c r="A102" s="1216"/>
      <c r="B102" s="1216"/>
      <c r="C102" s="1214"/>
      <c r="D102" s="1214"/>
      <c r="E102" s="1214"/>
      <c r="F102" s="1214"/>
      <c r="G102" s="1214"/>
      <c r="H102" s="1232"/>
      <c r="I102" s="1232"/>
      <c r="J102" s="1232"/>
      <c r="K102" s="1232"/>
      <c r="L102" s="1232"/>
      <c r="M102" s="1214"/>
      <c r="N102" s="1237"/>
      <c r="O102" s="1230"/>
      <c r="P102" s="1230"/>
      <c r="Q102" s="1230"/>
      <c r="R102" s="1230"/>
      <c r="S102" s="1214"/>
      <c r="T102" s="1214"/>
      <c r="U102" s="1214"/>
      <c r="V102" s="1214"/>
      <c r="W102" s="1214"/>
      <c r="X102" s="1214"/>
      <c r="Y102" s="1218"/>
      <c r="Z102" s="1198"/>
      <c r="AA102" s="1205"/>
      <c r="AB102" s="1198"/>
      <c r="AC102" s="1198"/>
      <c r="AD102" s="1198"/>
    </row>
    <row r="103" customFormat="false" ht="9" hidden="false" customHeight="true" outlineLevel="0" collapsed="false">
      <c r="A103" s="1216"/>
      <c r="B103" s="1216"/>
      <c r="C103" s="1214"/>
      <c r="D103" s="1214"/>
      <c r="E103" s="1214"/>
      <c r="F103" s="1214"/>
      <c r="G103" s="1214"/>
      <c r="H103" s="1232"/>
      <c r="I103" s="1232"/>
      <c r="J103" s="1232"/>
      <c r="K103" s="1232"/>
      <c r="L103" s="1232"/>
      <c r="M103" s="1214"/>
      <c r="N103" s="1237"/>
      <c r="O103" s="1230"/>
      <c r="P103" s="1230"/>
      <c r="Q103" s="1230"/>
      <c r="R103" s="1230"/>
      <c r="S103" s="1214"/>
      <c r="T103" s="1214"/>
      <c r="U103" s="1214"/>
      <c r="V103" s="1214"/>
      <c r="W103" s="1214"/>
      <c r="X103" s="1214"/>
      <c r="Y103" s="1218"/>
      <c r="Z103" s="1198"/>
      <c r="AA103" s="1205"/>
      <c r="AB103" s="1198"/>
      <c r="AC103" s="1198"/>
      <c r="AD103" s="1198"/>
    </row>
    <row r="104" customFormat="false" ht="9" hidden="false" customHeight="true" outlineLevel="0" collapsed="false">
      <c r="A104" s="1216"/>
      <c r="B104" s="1216"/>
      <c r="C104" s="1214"/>
      <c r="D104" s="1214"/>
      <c r="E104" s="1214"/>
      <c r="F104" s="1214"/>
      <c r="G104" s="1214"/>
      <c r="H104" s="1232"/>
      <c r="I104" s="1232"/>
      <c r="J104" s="1232"/>
      <c r="K104" s="1232"/>
      <c r="L104" s="1232"/>
      <c r="M104" s="1214"/>
      <c r="N104" s="1237"/>
      <c r="O104" s="1230"/>
      <c r="P104" s="1230"/>
      <c r="Q104" s="1230"/>
      <c r="R104" s="1230"/>
      <c r="S104" s="1214"/>
      <c r="T104" s="1214"/>
      <c r="U104" s="1214"/>
      <c r="V104" s="1214"/>
      <c r="W104" s="1214"/>
      <c r="X104" s="1214"/>
      <c r="Y104" s="1218"/>
      <c r="Z104" s="1198"/>
      <c r="AA104" s="1205"/>
      <c r="AB104" s="1198"/>
      <c r="AC104" s="1198"/>
      <c r="AD104" s="1198"/>
    </row>
    <row r="105" customFormat="false" ht="9" hidden="false" customHeight="true" outlineLevel="0" collapsed="false">
      <c r="A105" s="1216"/>
      <c r="B105" s="1216"/>
      <c r="C105" s="1214"/>
      <c r="D105" s="1214"/>
      <c r="E105" s="1214"/>
      <c r="F105" s="1214"/>
      <c r="G105" s="1214"/>
      <c r="H105" s="1232"/>
      <c r="I105" s="1232"/>
      <c r="J105" s="1232"/>
      <c r="K105" s="1232"/>
      <c r="L105" s="1232"/>
      <c r="M105" s="1214"/>
      <c r="N105" s="1237"/>
      <c r="O105" s="1230"/>
      <c r="P105" s="1230"/>
      <c r="Q105" s="1230"/>
      <c r="R105" s="1230"/>
      <c r="S105" s="1214"/>
      <c r="T105" s="1214"/>
      <c r="U105" s="1214"/>
      <c r="V105" s="1214"/>
      <c r="W105" s="1214"/>
      <c r="X105" s="1214"/>
      <c r="Y105" s="1218"/>
      <c r="Z105" s="1198"/>
      <c r="AA105" s="1205"/>
      <c r="AB105" s="1198"/>
      <c r="AC105" s="1198"/>
      <c r="AD105" s="1198"/>
    </row>
    <row r="106" customFormat="false" ht="9" hidden="false" customHeight="true" outlineLevel="0" collapsed="false">
      <c r="A106" s="1216"/>
      <c r="B106" s="1216"/>
      <c r="C106" s="1214"/>
      <c r="D106" s="1214"/>
      <c r="E106" s="1214"/>
      <c r="F106" s="1214"/>
      <c r="G106" s="1214"/>
      <c r="H106" s="1232"/>
      <c r="I106" s="1232"/>
      <c r="J106" s="1232"/>
      <c r="K106" s="1232"/>
      <c r="L106" s="1232"/>
      <c r="M106" s="1214"/>
      <c r="N106" s="1237"/>
      <c r="O106" s="1230"/>
      <c r="P106" s="1230"/>
      <c r="Q106" s="1230"/>
      <c r="R106" s="1230"/>
      <c r="S106" s="1214"/>
      <c r="T106" s="1214"/>
      <c r="U106" s="1214"/>
      <c r="V106" s="1214"/>
      <c r="W106" s="1214"/>
      <c r="X106" s="1214"/>
      <c r="Y106" s="1218"/>
      <c r="Z106" s="1198"/>
      <c r="AA106" s="1205"/>
      <c r="AB106" s="1198"/>
      <c r="AC106" s="1198"/>
      <c r="AD106" s="1198"/>
    </row>
    <row r="107" customFormat="false" ht="9" hidden="false" customHeight="true" outlineLevel="0" collapsed="false">
      <c r="A107" s="1216"/>
      <c r="B107" s="1216"/>
      <c r="C107" s="1214"/>
      <c r="D107" s="1214"/>
      <c r="E107" s="1214"/>
      <c r="F107" s="1214"/>
      <c r="G107" s="1214"/>
      <c r="H107" s="1232"/>
      <c r="I107" s="1232"/>
      <c r="J107" s="1232"/>
      <c r="K107" s="1232"/>
      <c r="L107" s="1232"/>
      <c r="M107" s="1214"/>
      <c r="N107" s="1237"/>
      <c r="O107" s="1230"/>
      <c r="P107" s="1230"/>
      <c r="Q107" s="1230"/>
      <c r="R107" s="1230"/>
      <c r="S107" s="1214"/>
      <c r="T107" s="1214"/>
      <c r="U107" s="1214"/>
      <c r="V107" s="1214"/>
      <c r="W107" s="1214"/>
      <c r="X107" s="1214"/>
      <c r="Y107" s="1218"/>
      <c r="Z107" s="1198"/>
      <c r="AA107" s="1205"/>
      <c r="AB107" s="1198"/>
      <c r="AC107" s="1198"/>
      <c r="AD107" s="1198"/>
    </row>
    <row r="108" customFormat="false" ht="9" hidden="false" customHeight="true" outlineLevel="0" collapsed="false">
      <c r="A108" s="1216"/>
      <c r="B108" s="1216"/>
      <c r="C108" s="1214"/>
      <c r="D108" s="1214"/>
      <c r="E108" s="1214"/>
      <c r="F108" s="1214"/>
      <c r="G108" s="1214"/>
      <c r="H108" s="1232"/>
      <c r="I108" s="1232"/>
      <c r="J108" s="1232"/>
      <c r="K108" s="1232"/>
      <c r="L108" s="1232"/>
      <c r="M108" s="1214"/>
      <c r="N108" s="1237"/>
      <c r="O108" s="1230"/>
      <c r="P108" s="1230"/>
      <c r="Q108" s="1230"/>
      <c r="R108" s="1230"/>
      <c r="S108" s="1214"/>
      <c r="T108" s="1214"/>
      <c r="U108" s="1214"/>
      <c r="V108" s="1214"/>
      <c r="W108" s="1214"/>
      <c r="X108" s="1214"/>
      <c r="Y108" s="1218"/>
      <c r="Z108" s="1198"/>
      <c r="AA108" s="1205"/>
      <c r="AB108" s="1198"/>
      <c r="AC108" s="1198"/>
      <c r="AD108" s="1198"/>
    </row>
    <row r="109" customFormat="false" ht="9" hidden="false" customHeight="true" outlineLevel="0" collapsed="false">
      <c r="A109" s="1216"/>
      <c r="B109" s="1216"/>
      <c r="C109" s="1214"/>
      <c r="D109" s="1214"/>
      <c r="E109" s="1214"/>
      <c r="F109" s="1214"/>
      <c r="G109" s="1214"/>
      <c r="H109" s="1232"/>
      <c r="I109" s="1232"/>
      <c r="J109" s="1232"/>
      <c r="K109" s="1232"/>
      <c r="L109" s="1232"/>
      <c r="M109" s="1214"/>
      <c r="N109" s="1237"/>
      <c r="O109" s="1230"/>
      <c r="P109" s="1230"/>
      <c r="Q109" s="1230"/>
      <c r="R109" s="1230"/>
      <c r="S109" s="1214"/>
      <c r="T109" s="1214"/>
      <c r="U109" s="1214"/>
      <c r="V109" s="1214"/>
      <c r="W109" s="1214"/>
      <c r="X109" s="1214"/>
      <c r="Y109" s="1218"/>
      <c r="Z109" s="1198"/>
      <c r="AA109" s="1205"/>
      <c r="AB109" s="1198"/>
      <c r="AC109" s="1198"/>
      <c r="AD109" s="1198"/>
    </row>
    <row r="110" customFormat="false" ht="9" hidden="false" customHeight="true" outlineLevel="0" collapsed="false">
      <c r="A110" s="1216"/>
      <c r="B110" s="1216"/>
      <c r="C110" s="1214"/>
      <c r="D110" s="1214"/>
      <c r="E110" s="1214"/>
      <c r="F110" s="1214"/>
      <c r="G110" s="1214"/>
      <c r="H110" s="1232"/>
      <c r="I110" s="1232"/>
      <c r="J110" s="1232"/>
      <c r="K110" s="1232"/>
      <c r="L110" s="1232"/>
      <c r="M110" s="1214"/>
      <c r="N110" s="1237"/>
      <c r="O110" s="1230"/>
      <c r="P110" s="1230"/>
      <c r="Q110" s="1230"/>
      <c r="R110" s="1230"/>
      <c r="S110" s="1214"/>
      <c r="T110" s="1214"/>
      <c r="U110" s="1214"/>
      <c r="V110" s="1214"/>
      <c r="W110" s="1214"/>
      <c r="X110" s="1214"/>
      <c r="Y110" s="1218"/>
      <c r="Z110" s="1198"/>
      <c r="AA110" s="1205"/>
      <c r="AB110" s="1198"/>
      <c r="AC110" s="1198"/>
      <c r="AD110" s="1198"/>
    </row>
    <row r="111" customFormat="false" ht="9" hidden="false" customHeight="true" outlineLevel="0" collapsed="false">
      <c r="A111" s="1216"/>
      <c r="B111" s="1216"/>
      <c r="C111" s="1214"/>
      <c r="D111" s="1214"/>
      <c r="E111" s="1214"/>
      <c r="F111" s="1214"/>
      <c r="G111" s="1214"/>
      <c r="H111" s="1232"/>
      <c r="I111" s="1232"/>
      <c r="J111" s="1232"/>
      <c r="K111" s="1232"/>
      <c r="L111" s="1232"/>
      <c r="M111" s="1214"/>
      <c r="N111" s="1237"/>
      <c r="O111" s="1230"/>
      <c r="P111" s="1230"/>
      <c r="Q111" s="1230"/>
      <c r="R111" s="1230"/>
      <c r="S111" s="1214"/>
      <c r="T111" s="1214"/>
      <c r="U111" s="1214"/>
      <c r="V111" s="1214"/>
      <c r="W111" s="1214"/>
      <c r="X111" s="1214"/>
      <c r="Y111" s="1218"/>
      <c r="Z111" s="1198"/>
      <c r="AA111" s="1205"/>
      <c r="AB111" s="1198"/>
      <c r="AC111" s="1198"/>
      <c r="AD111" s="1198"/>
    </row>
    <row r="112" customFormat="false" ht="9" hidden="false" customHeight="true" outlineLevel="0" collapsed="false">
      <c r="A112" s="1216"/>
      <c r="B112" s="1216"/>
      <c r="C112" s="1214"/>
      <c r="D112" s="1214"/>
      <c r="E112" s="1214"/>
      <c r="F112" s="1214"/>
      <c r="G112" s="1214"/>
      <c r="H112" s="1232"/>
      <c r="I112" s="1232"/>
      <c r="J112" s="1232"/>
      <c r="K112" s="1232"/>
      <c r="L112" s="1232"/>
      <c r="M112" s="1214"/>
      <c r="N112" s="1237"/>
      <c r="O112" s="1230"/>
      <c r="P112" s="1230"/>
      <c r="Q112" s="1230"/>
      <c r="R112" s="1230"/>
      <c r="S112" s="1214"/>
      <c r="T112" s="1214"/>
      <c r="U112" s="1214"/>
      <c r="V112" s="1214"/>
      <c r="W112" s="1214"/>
      <c r="X112" s="1214"/>
      <c r="Y112" s="1218"/>
      <c r="Z112" s="1198"/>
      <c r="AA112" s="1205"/>
      <c r="AB112" s="1198"/>
      <c r="AC112" s="1198"/>
      <c r="AD112" s="1198"/>
    </row>
    <row r="113" customFormat="false" ht="9" hidden="false" customHeight="true" outlineLevel="0" collapsed="false">
      <c r="A113" s="1216"/>
      <c r="B113" s="1216"/>
      <c r="C113" s="1214"/>
      <c r="D113" s="1214"/>
      <c r="E113" s="1214"/>
      <c r="F113" s="1214"/>
      <c r="G113" s="1214"/>
      <c r="H113" s="1232"/>
      <c r="I113" s="1232"/>
      <c r="J113" s="1232"/>
      <c r="K113" s="1232"/>
      <c r="L113" s="1232"/>
      <c r="M113" s="1214"/>
      <c r="N113" s="1237"/>
      <c r="O113" s="1230"/>
      <c r="P113" s="1230"/>
      <c r="Q113" s="1230"/>
      <c r="R113" s="1230"/>
      <c r="S113" s="1214"/>
      <c r="T113" s="1214"/>
      <c r="U113" s="1214"/>
      <c r="V113" s="1214"/>
      <c r="W113" s="1214"/>
      <c r="X113" s="1214"/>
      <c r="Y113" s="1218"/>
      <c r="Z113" s="1198"/>
      <c r="AA113" s="1205"/>
      <c r="AB113" s="1198"/>
      <c r="AC113" s="1198"/>
      <c r="AD113" s="1198"/>
    </row>
    <row r="114" customFormat="false" ht="9" hidden="false" customHeight="true" outlineLevel="0" collapsed="false">
      <c r="A114" s="1216"/>
      <c r="B114" s="1216"/>
      <c r="C114" s="1214"/>
      <c r="D114" s="1214"/>
      <c r="E114" s="1214"/>
      <c r="F114" s="1214"/>
      <c r="G114" s="1214"/>
      <c r="H114" s="1232"/>
      <c r="I114" s="1232"/>
      <c r="J114" s="1232"/>
      <c r="K114" s="1232"/>
      <c r="L114" s="1232"/>
      <c r="M114" s="1214"/>
      <c r="N114" s="1237"/>
      <c r="O114" s="1230"/>
      <c r="P114" s="1230"/>
      <c r="Q114" s="1230"/>
      <c r="R114" s="1230"/>
      <c r="S114" s="1214"/>
      <c r="T114" s="1214"/>
      <c r="U114" s="1214"/>
      <c r="V114" s="1214"/>
      <c r="W114" s="1214"/>
      <c r="X114" s="1214"/>
      <c r="Y114" s="1218"/>
      <c r="Z114" s="1198"/>
      <c r="AA114" s="1205"/>
      <c r="AB114" s="1198"/>
      <c r="AC114" s="1198"/>
      <c r="AD114" s="1198"/>
    </row>
    <row r="115" customFormat="false" ht="9" hidden="false" customHeight="true" outlineLevel="0" collapsed="false">
      <c r="A115" s="1216"/>
      <c r="B115" s="1216"/>
      <c r="C115" s="1214"/>
      <c r="D115" s="1214"/>
      <c r="E115" s="1214"/>
      <c r="F115" s="1214"/>
      <c r="G115" s="1214"/>
      <c r="H115" s="1232"/>
      <c r="I115" s="1232"/>
      <c r="J115" s="1232"/>
      <c r="K115" s="1232"/>
      <c r="L115" s="1232"/>
      <c r="M115" s="1214"/>
      <c r="N115" s="1237"/>
      <c r="O115" s="1230"/>
      <c r="P115" s="1230"/>
      <c r="Q115" s="1230"/>
      <c r="R115" s="1230"/>
      <c r="S115" s="1214"/>
      <c r="T115" s="1214"/>
      <c r="U115" s="1214"/>
      <c r="V115" s="1214"/>
      <c r="W115" s="1214"/>
      <c r="X115" s="1214"/>
      <c r="Y115" s="1218"/>
      <c r="Z115" s="1198"/>
      <c r="AA115" s="1205"/>
      <c r="AB115" s="1198"/>
      <c r="AC115" s="1198"/>
      <c r="AD115" s="1198"/>
    </row>
    <row r="116" customFormat="false" ht="9" hidden="false" customHeight="true" outlineLevel="0" collapsed="false">
      <c r="A116" s="1216"/>
      <c r="B116" s="1216"/>
      <c r="C116" s="1214"/>
      <c r="D116" s="1214"/>
      <c r="E116" s="1214"/>
      <c r="F116" s="1214"/>
      <c r="G116" s="1214"/>
      <c r="H116" s="1232"/>
      <c r="I116" s="1232"/>
      <c r="J116" s="1232"/>
      <c r="K116" s="1232"/>
      <c r="L116" s="1232"/>
      <c r="M116" s="1214"/>
      <c r="N116" s="1237"/>
      <c r="O116" s="1230"/>
      <c r="P116" s="1230"/>
      <c r="Q116" s="1230"/>
      <c r="R116" s="1230"/>
      <c r="S116" s="1214"/>
      <c r="T116" s="1214"/>
      <c r="U116" s="1214"/>
      <c r="V116" s="1214"/>
      <c r="W116" s="1214"/>
      <c r="X116" s="1214"/>
      <c r="Y116" s="1218"/>
      <c r="Z116" s="1198"/>
      <c r="AA116" s="1205"/>
      <c r="AB116" s="1198"/>
      <c r="AC116" s="1198"/>
      <c r="AD116" s="1198"/>
    </row>
    <row r="117" customFormat="false" ht="9" hidden="false" customHeight="true" outlineLevel="0" collapsed="false">
      <c r="A117" s="1216"/>
      <c r="B117" s="1216"/>
      <c r="C117" s="1214"/>
      <c r="D117" s="1214"/>
      <c r="E117" s="1214"/>
      <c r="F117" s="1214"/>
      <c r="G117" s="1214"/>
      <c r="H117" s="1232"/>
      <c r="I117" s="1232"/>
      <c r="J117" s="1232"/>
      <c r="K117" s="1232"/>
      <c r="L117" s="1232"/>
      <c r="M117" s="1214"/>
      <c r="N117" s="1237"/>
      <c r="O117" s="1230"/>
      <c r="P117" s="1230"/>
      <c r="Q117" s="1230"/>
      <c r="R117" s="1230"/>
      <c r="S117" s="1214"/>
      <c r="T117" s="1214"/>
      <c r="U117" s="1214"/>
      <c r="V117" s="1214"/>
      <c r="W117" s="1214"/>
      <c r="X117" s="1214"/>
      <c r="Y117" s="1218"/>
      <c r="Z117" s="1198"/>
      <c r="AA117" s="1205"/>
      <c r="AB117" s="1198"/>
      <c r="AC117" s="1198"/>
      <c r="AD117" s="1198"/>
    </row>
    <row r="118" customFormat="false" ht="9" hidden="false" customHeight="true" outlineLevel="0" collapsed="false">
      <c r="A118" s="1216"/>
      <c r="B118" s="1216"/>
      <c r="C118" s="1214"/>
      <c r="D118" s="1214"/>
      <c r="E118" s="1214"/>
      <c r="F118" s="1214"/>
      <c r="G118" s="1214"/>
      <c r="H118" s="1232"/>
      <c r="I118" s="1232"/>
      <c r="J118" s="1232"/>
      <c r="K118" s="1232"/>
      <c r="L118" s="1232"/>
      <c r="M118" s="1214"/>
      <c r="N118" s="1237"/>
      <c r="O118" s="1230"/>
      <c r="P118" s="1230"/>
      <c r="Q118" s="1230"/>
      <c r="R118" s="1230"/>
      <c r="S118" s="1214"/>
      <c r="T118" s="1214"/>
      <c r="U118" s="1214"/>
      <c r="V118" s="1214"/>
      <c r="W118" s="1214"/>
      <c r="X118" s="1214"/>
      <c r="Y118" s="1218"/>
      <c r="Z118" s="1198"/>
      <c r="AA118" s="1205"/>
      <c r="AB118" s="1198"/>
      <c r="AC118" s="1198"/>
      <c r="AD118" s="1198"/>
    </row>
    <row r="119" customFormat="false" ht="9" hidden="false" customHeight="true" outlineLevel="0" collapsed="false">
      <c r="A119" s="1216"/>
      <c r="B119" s="1216"/>
      <c r="C119" s="1214"/>
      <c r="D119" s="1214"/>
      <c r="E119" s="1214"/>
      <c r="F119" s="1214"/>
      <c r="G119" s="1214"/>
      <c r="H119" s="1232"/>
      <c r="I119" s="1232"/>
      <c r="J119" s="1232"/>
      <c r="K119" s="1232"/>
      <c r="L119" s="1232"/>
      <c r="M119" s="1214"/>
      <c r="N119" s="1237"/>
      <c r="O119" s="1230"/>
      <c r="P119" s="1230"/>
      <c r="Q119" s="1230"/>
      <c r="R119" s="1230"/>
      <c r="S119" s="1214"/>
      <c r="T119" s="1214"/>
      <c r="U119" s="1214"/>
      <c r="V119" s="1214"/>
      <c r="W119" s="1214"/>
      <c r="X119" s="1214"/>
      <c r="Y119" s="1218"/>
      <c r="Z119" s="1198"/>
      <c r="AA119" s="1205"/>
      <c r="AB119" s="1198"/>
      <c r="AC119" s="1198"/>
      <c r="AD119" s="1198"/>
    </row>
    <row r="120" customFormat="false" ht="9" hidden="false" customHeight="true" outlineLevel="0" collapsed="false">
      <c r="A120" s="1216"/>
      <c r="B120" s="1216"/>
      <c r="C120" s="1214"/>
      <c r="D120" s="1214"/>
      <c r="E120" s="1214"/>
      <c r="F120" s="1214"/>
      <c r="G120" s="1214"/>
      <c r="H120" s="1232"/>
      <c r="I120" s="1232"/>
      <c r="J120" s="1232"/>
      <c r="K120" s="1232"/>
      <c r="L120" s="1232"/>
      <c r="M120" s="1214"/>
      <c r="N120" s="1237"/>
      <c r="O120" s="1230"/>
      <c r="P120" s="1230"/>
      <c r="Q120" s="1230"/>
      <c r="R120" s="1230"/>
      <c r="S120" s="1214"/>
      <c r="T120" s="1214"/>
      <c r="U120" s="1214"/>
      <c r="V120" s="1214"/>
      <c r="W120" s="1214"/>
      <c r="X120" s="1214"/>
      <c r="Y120" s="1218"/>
      <c r="Z120" s="1198"/>
      <c r="AA120" s="1205"/>
      <c r="AB120" s="1198"/>
      <c r="AC120" s="1198"/>
      <c r="AD120" s="1198"/>
    </row>
    <row r="121" customFormat="false" ht="9" hidden="false" customHeight="true" outlineLevel="0" collapsed="false">
      <c r="A121" s="1216"/>
      <c r="B121" s="1216"/>
      <c r="C121" s="1214"/>
      <c r="D121" s="1214"/>
      <c r="E121" s="1214"/>
      <c r="F121" s="1214"/>
      <c r="G121" s="1214"/>
      <c r="H121" s="1232"/>
      <c r="I121" s="1232"/>
      <c r="J121" s="1232"/>
      <c r="K121" s="1232"/>
      <c r="L121" s="1232"/>
      <c r="M121" s="1214"/>
      <c r="N121" s="1237"/>
      <c r="O121" s="1230"/>
      <c r="P121" s="1230"/>
      <c r="Q121" s="1230"/>
      <c r="R121" s="1230"/>
      <c r="S121" s="1214"/>
      <c r="T121" s="1214"/>
      <c r="U121" s="1214"/>
      <c r="V121" s="1214"/>
      <c r="W121" s="1214"/>
      <c r="X121" s="1214"/>
      <c r="Y121" s="1218"/>
      <c r="Z121" s="1198"/>
      <c r="AA121" s="1205"/>
      <c r="AB121" s="1198"/>
      <c r="AC121" s="1198"/>
      <c r="AD121" s="1198"/>
    </row>
    <row r="122" customFormat="false" ht="9" hidden="false" customHeight="true" outlineLevel="0" collapsed="false">
      <c r="A122" s="1216"/>
      <c r="B122" s="1216"/>
      <c r="C122" s="1214"/>
      <c r="D122" s="1214"/>
      <c r="E122" s="1214"/>
      <c r="F122" s="1214"/>
      <c r="G122" s="1214"/>
      <c r="H122" s="1232"/>
      <c r="I122" s="1232"/>
      <c r="J122" s="1232"/>
      <c r="K122" s="1232"/>
      <c r="L122" s="1232"/>
      <c r="M122" s="1214"/>
      <c r="N122" s="1237"/>
      <c r="O122" s="1230"/>
      <c r="P122" s="1230"/>
      <c r="Q122" s="1230"/>
      <c r="R122" s="1230"/>
      <c r="S122" s="1214"/>
      <c r="T122" s="1214"/>
      <c r="U122" s="1214"/>
      <c r="V122" s="1214"/>
      <c r="W122" s="1214"/>
      <c r="X122" s="1214"/>
      <c r="Y122" s="1218"/>
      <c r="Z122" s="1198"/>
      <c r="AA122" s="1205"/>
      <c r="AB122" s="1198"/>
      <c r="AC122" s="1198"/>
      <c r="AD122" s="1198"/>
    </row>
    <row r="123" customFormat="false" ht="9" hidden="false" customHeight="true" outlineLevel="0" collapsed="false">
      <c r="A123" s="1216"/>
      <c r="B123" s="1216"/>
      <c r="C123" s="1214"/>
      <c r="D123" s="1214"/>
      <c r="E123" s="1214"/>
      <c r="F123" s="1214"/>
      <c r="G123" s="1214"/>
      <c r="H123" s="1232"/>
      <c r="I123" s="1232"/>
      <c r="J123" s="1232"/>
      <c r="K123" s="1232"/>
      <c r="L123" s="1232"/>
      <c r="M123" s="1214"/>
      <c r="N123" s="1237"/>
      <c r="O123" s="1230"/>
      <c r="P123" s="1230"/>
      <c r="Q123" s="1230"/>
      <c r="R123" s="1230"/>
      <c r="S123" s="1214"/>
      <c r="T123" s="1214"/>
      <c r="U123" s="1214"/>
      <c r="V123" s="1214"/>
      <c r="W123" s="1214"/>
      <c r="X123" s="1214"/>
      <c r="Y123" s="1218"/>
      <c r="Z123" s="1198"/>
      <c r="AA123" s="1205"/>
      <c r="AB123" s="1198"/>
      <c r="AC123" s="1198"/>
      <c r="AD123" s="1198"/>
    </row>
    <row r="124" customFormat="false" ht="9" hidden="false" customHeight="true" outlineLevel="0" collapsed="false">
      <c r="A124" s="1216"/>
      <c r="B124" s="1216"/>
      <c r="C124" s="1214"/>
      <c r="D124" s="1214"/>
      <c r="E124" s="1214"/>
      <c r="F124" s="1214"/>
      <c r="G124" s="1214"/>
      <c r="H124" s="1232"/>
      <c r="I124" s="1232"/>
      <c r="J124" s="1232"/>
      <c r="K124" s="1232"/>
      <c r="L124" s="1232"/>
      <c r="M124" s="1214"/>
      <c r="N124" s="1237"/>
      <c r="O124" s="1230"/>
      <c r="P124" s="1230"/>
      <c r="Q124" s="1230"/>
      <c r="R124" s="1230"/>
      <c r="S124" s="1214"/>
      <c r="T124" s="1214"/>
      <c r="U124" s="1214"/>
      <c r="V124" s="1214"/>
      <c r="W124" s="1214"/>
      <c r="X124" s="1214"/>
      <c r="Y124" s="1218"/>
      <c r="Z124" s="1198"/>
      <c r="AA124" s="1205"/>
      <c r="AB124" s="1198"/>
      <c r="AC124" s="1198"/>
      <c r="AD124" s="1198"/>
    </row>
    <row r="125" customFormat="false" ht="9" hidden="false" customHeight="true" outlineLevel="0" collapsed="false">
      <c r="A125" s="1216"/>
      <c r="B125" s="1216"/>
      <c r="C125" s="1214"/>
      <c r="D125" s="1214"/>
      <c r="E125" s="1214"/>
      <c r="F125" s="1214"/>
      <c r="G125" s="1214"/>
      <c r="H125" s="1232"/>
      <c r="I125" s="1232"/>
      <c r="J125" s="1232"/>
      <c r="K125" s="1232"/>
      <c r="L125" s="1232"/>
      <c r="M125" s="1214"/>
      <c r="N125" s="1237"/>
      <c r="O125" s="1230"/>
      <c r="P125" s="1230"/>
      <c r="Q125" s="1230"/>
      <c r="R125" s="1230"/>
      <c r="S125" s="1214"/>
      <c r="T125" s="1214"/>
      <c r="U125" s="1214"/>
      <c r="V125" s="1214"/>
      <c r="W125" s="1214"/>
      <c r="X125" s="1214"/>
      <c r="Y125" s="1218"/>
      <c r="Z125" s="1198"/>
      <c r="AA125" s="1205"/>
      <c r="AB125" s="1198"/>
      <c r="AC125" s="1198"/>
      <c r="AD125" s="1198"/>
    </row>
    <row r="126" customFormat="false" ht="9" hidden="false" customHeight="true" outlineLevel="0" collapsed="false">
      <c r="A126" s="1216"/>
      <c r="B126" s="1216"/>
      <c r="C126" s="1214"/>
      <c r="D126" s="1214"/>
      <c r="E126" s="1214"/>
      <c r="F126" s="1214"/>
      <c r="G126" s="1214"/>
      <c r="H126" s="1232"/>
      <c r="I126" s="1232"/>
      <c r="J126" s="1232"/>
      <c r="K126" s="1232"/>
      <c r="L126" s="1232"/>
      <c r="M126" s="1214"/>
      <c r="N126" s="1237"/>
      <c r="O126" s="1230"/>
      <c r="P126" s="1230"/>
      <c r="Q126" s="1230"/>
      <c r="R126" s="1230"/>
      <c r="S126" s="1214"/>
      <c r="T126" s="1214"/>
      <c r="U126" s="1214"/>
      <c r="V126" s="1214"/>
      <c r="W126" s="1214"/>
      <c r="X126" s="1214"/>
      <c r="Y126" s="1218"/>
      <c r="Z126" s="1198"/>
      <c r="AA126" s="1205"/>
      <c r="AB126" s="1198"/>
      <c r="AC126" s="1198"/>
      <c r="AD126" s="1198"/>
    </row>
    <row r="127" customFormat="false" ht="9" hidden="false" customHeight="true" outlineLevel="0" collapsed="false">
      <c r="A127" s="1216"/>
      <c r="B127" s="1216"/>
      <c r="C127" s="1214"/>
      <c r="D127" s="1214"/>
      <c r="E127" s="1214"/>
      <c r="F127" s="1214"/>
      <c r="G127" s="1214"/>
      <c r="H127" s="1232"/>
      <c r="I127" s="1232"/>
      <c r="J127" s="1232"/>
      <c r="K127" s="1232"/>
      <c r="L127" s="1232"/>
      <c r="M127" s="1214"/>
      <c r="N127" s="1237"/>
      <c r="O127" s="1230"/>
      <c r="P127" s="1230"/>
      <c r="Q127" s="1230"/>
      <c r="R127" s="1230"/>
      <c r="S127" s="1214"/>
      <c r="T127" s="1214"/>
      <c r="U127" s="1214"/>
      <c r="V127" s="1214"/>
      <c r="W127" s="1214"/>
      <c r="X127" s="1214"/>
      <c r="Y127" s="1218"/>
      <c r="Z127" s="1198"/>
      <c r="AA127" s="1205"/>
      <c r="AB127" s="1198"/>
      <c r="AC127" s="1198"/>
      <c r="AD127" s="1198"/>
    </row>
    <row r="128" customFormat="false" ht="9" hidden="false" customHeight="true" outlineLevel="0" collapsed="false">
      <c r="A128" s="1216"/>
      <c r="B128" s="1216"/>
      <c r="C128" s="1214"/>
      <c r="D128" s="1214"/>
      <c r="E128" s="1214"/>
      <c r="F128" s="1214"/>
      <c r="G128" s="1214"/>
      <c r="H128" s="1232"/>
      <c r="I128" s="1232"/>
      <c r="J128" s="1232"/>
      <c r="K128" s="1232"/>
      <c r="L128" s="1232"/>
      <c r="M128" s="1214"/>
      <c r="N128" s="1237"/>
      <c r="O128" s="1230"/>
      <c r="P128" s="1230"/>
      <c r="Q128" s="1230"/>
      <c r="R128" s="1230"/>
      <c r="S128" s="1214"/>
      <c r="T128" s="1214"/>
      <c r="U128" s="1214"/>
      <c r="V128" s="1214"/>
      <c r="W128" s="1214"/>
      <c r="X128" s="1214"/>
      <c r="Y128" s="1218"/>
      <c r="Z128" s="1198"/>
      <c r="AA128" s="1205"/>
      <c r="AB128" s="1198"/>
      <c r="AC128" s="1198"/>
      <c r="AD128" s="1198"/>
    </row>
    <row r="129" customFormat="false" ht="9" hidden="false" customHeight="true" outlineLevel="0" collapsed="false">
      <c r="A129" s="1216"/>
      <c r="B129" s="1216"/>
      <c r="C129" s="1214"/>
      <c r="D129" s="1214"/>
      <c r="E129" s="1214"/>
      <c r="F129" s="1214"/>
      <c r="G129" s="1214"/>
      <c r="H129" s="1232"/>
      <c r="I129" s="1232"/>
      <c r="J129" s="1232"/>
      <c r="K129" s="1232"/>
      <c r="L129" s="1232"/>
      <c r="M129" s="1214"/>
      <c r="N129" s="1237"/>
      <c r="O129" s="1230"/>
      <c r="P129" s="1230"/>
      <c r="Q129" s="1230"/>
      <c r="R129" s="1230"/>
      <c r="S129" s="1214"/>
      <c r="T129" s="1214"/>
      <c r="U129" s="1214"/>
      <c r="V129" s="1214"/>
      <c r="W129" s="1214"/>
      <c r="X129" s="1214"/>
      <c r="Y129" s="1218"/>
      <c r="Z129" s="1198"/>
      <c r="AA129" s="1205"/>
      <c r="AB129" s="1198"/>
      <c r="AC129" s="1198"/>
      <c r="AD129" s="1198"/>
    </row>
    <row r="130" customFormat="false" ht="9" hidden="false" customHeight="true" outlineLevel="0" collapsed="false">
      <c r="A130" s="1216"/>
      <c r="B130" s="1216"/>
      <c r="C130" s="1214"/>
      <c r="D130" s="1214"/>
      <c r="E130" s="1214"/>
      <c r="F130" s="1214"/>
      <c r="G130" s="1214"/>
      <c r="H130" s="1232"/>
      <c r="I130" s="1232"/>
      <c r="J130" s="1232"/>
      <c r="K130" s="1232"/>
      <c r="L130" s="1232"/>
      <c r="M130" s="1214"/>
      <c r="N130" s="1237"/>
      <c r="O130" s="1238"/>
      <c r="P130" s="1238"/>
      <c r="Q130" s="1238"/>
      <c r="R130" s="1238"/>
      <c r="S130" s="1214"/>
      <c r="T130" s="1214"/>
      <c r="U130" s="1214"/>
      <c r="V130" s="1214"/>
      <c r="W130" s="1214"/>
      <c r="X130" s="1214"/>
      <c r="Y130" s="1218"/>
      <c r="Z130" s="1198"/>
      <c r="AA130" s="1205"/>
      <c r="AB130" s="1198"/>
      <c r="AC130" s="1198"/>
      <c r="AD130" s="1198"/>
    </row>
    <row r="131" customFormat="false" ht="9" hidden="false" customHeight="true" outlineLevel="0" collapsed="false">
      <c r="A131" s="1216"/>
      <c r="B131" s="1216"/>
      <c r="C131" s="1214"/>
      <c r="D131" s="1214"/>
      <c r="E131" s="1214"/>
      <c r="F131" s="1214"/>
      <c r="G131" s="1214"/>
      <c r="H131" s="1232"/>
      <c r="I131" s="1232"/>
      <c r="J131" s="1232"/>
      <c r="K131" s="1232"/>
      <c r="L131" s="1232"/>
      <c r="M131" s="1214"/>
      <c r="N131" s="1237"/>
      <c r="O131" s="1239"/>
      <c r="P131" s="1239"/>
      <c r="Q131" s="1239"/>
      <c r="R131" s="1239"/>
      <c r="S131" s="1214"/>
      <c r="T131" s="1214"/>
      <c r="U131" s="1214"/>
      <c r="V131" s="1214"/>
      <c r="W131" s="1214"/>
      <c r="X131" s="1214"/>
      <c r="Y131" s="1218"/>
      <c r="Z131" s="1198"/>
      <c r="AA131" s="1205"/>
      <c r="AB131" s="1198"/>
      <c r="AC131" s="1198"/>
      <c r="AD131" s="1198"/>
    </row>
    <row r="132" customFormat="false" ht="9" hidden="false" customHeight="true" outlineLevel="0" collapsed="false">
      <c r="A132" s="1216"/>
      <c r="B132" s="1216"/>
      <c r="C132" s="1214"/>
      <c r="D132" s="1214"/>
      <c r="E132" s="1214"/>
      <c r="F132" s="1214"/>
      <c r="G132" s="1214"/>
      <c r="H132" s="1232"/>
      <c r="I132" s="1232"/>
      <c r="J132" s="1232"/>
      <c r="K132" s="1232"/>
      <c r="L132" s="1232"/>
      <c r="M132" s="1214"/>
      <c r="N132" s="1237"/>
      <c r="O132" s="1238"/>
      <c r="P132" s="1238"/>
      <c r="Q132" s="1238"/>
      <c r="R132" s="1238"/>
      <c r="S132" s="1214"/>
      <c r="T132" s="1214"/>
      <c r="U132" s="1214"/>
      <c r="V132" s="1214"/>
      <c r="W132" s="1214"/>
      <c r="X132" s="1214"/>
      <c r="Y132" s="1218"/>
      <c r="Z132" s="1198"/>
      <c r="AA132" s="1205"/>
      <c r="AB132" s="1198"/>
      <c r="AC132" s="1198"/>
      <c r="AD132" s="1198"/>
    </row>
    <row r="133" customFormat="false" ht="9" hidden="false" customHeight="true" outlineLevel="0" collapsed="false">
      <c r="A133" s="1216"/>
      <c r="B133" s="1216"/>
      <c r="C133" s="1214"/>
      <c r="D133" s="1214"/>
      <c r="E133" s="1214"/>
      <c r="F133" s="1214"/>
      <c r="G133" s="1214"/>
      <c r="H133" s="1232"/>
      <c r="I133" s="1232"/>
      <c r="J133" s="1232"/>
      <c r="K133" s="1232"/>
      <c r="L133" s="1232"/>
      <c r="M133" s="1214"/>
      <c r="N133" s="1237"/>
      <c r="O133" s="1239"/>
      <c r="P133" s="1239"/>
      <c r="Q133" s="1239"/>
      <c r="R133" s="1239"/>
      <c r="S133" s="1214"/>
      <c r="T133" s="1214"/>
      <c r="U133" s="1214"/>
      <c r="V133" s="1214"/>
      <c r="W133" s="1214"/>
      <c r="X133" s="1214"/>
      <c r="Y133" s="1218"/>
      <c r="Z133" s="1198"/>
      <c r="AA133" s="1205"/>
      <c r="AB133" s="1198"/>
      <c r="AC133" s="1198"/>
      <c r="AD133" s="1198"/>
    </row>
    <row r="134" customFormat="false" ht="9" hidden="false" customHeight="true" outlineLevel="0" collapsed="false">
      <c r="A134" s="1216"/>
      <c r="B134" s="1216"/>
      <c r="C134" s="1214"/>
      <c r="D134" s="1214"/>
      <c r="E134" s="1214"/>
      <c r="F134" s="1214"/>
      <c r="G134" s="1214"/>
      <c r="H134" s="1232"/>
      <c r="I134" s="1232"/>
      <c r="J134" s="1232"/>
      <c r="K134" s="1232"/>
      <c r="L134" s="1232"/>
      <c r="M134" s="1214"/>
      <c r="N134" s="1237"/>
      <c r="O134" s="1230"/>
      <c r="P134" s="1230"/>
      <c r="Q134" s="1230"/>
      <c r="R134" s="1230"/>
      <c r="S134" s="1214"/>
      <c r="T134" s="1214"/>
      <c r="U134" s="1214"/>
      <c r="V134" s="1214"/>
      <c r="W134" s="1214"/>
      <c r="X134" s="1214"/>
      <c r="Y134" s="1218"/>
      <c r="Z134" s="1198"/>
      <c r="AA134" s="1205"/>
      <c r="AB134" s="1198"/>
      <c r="AC134" s="1198"/>
      <c r="AD134" s="1198"/>
    </row>
    <row r="135" customFormat="false" ht="9" hidden="false" customHeight="true" outlineLevel="0" collapsed="false">
      <c r="A135" s="1216"/>
      <c r="B135" s="1216"/>
      <c r="C135" s="1214"/>
      <c r="D135" s="1214"/>
      <c r="E135" s="1214"/>
      <c r="F135" s="1214"/>
      <c r="G135" s="1214"/>
      <c r="H135" s="1232"/>
      <c r="I135" s="1232"/>
      <c r="J135" s="1232"/>
      <c r="K135" s="1232"/>
      <c r="L135" s="1232"/>
      <c r="M135" s="1214"/>
      <c r="N135" s="1237"/>
      <c r="O135" s="1230"/>
      <c r="P135" s="1230"/>
      <c r="Q135" s="1230"/>
      <c r="R135" s="1230"/>
      <c r="S135" s="1214"/>
      <c r="T135" s="1214"/>
      <c r="U135" s="1214"/>
      <c r="V135" s="1214"/>
      <c r="W135" s="1214"/>
      <c r="X135" s="1214"/>
      <c r="Y135" s="1218"/>
      <c r="Z135" s="1198"/>
      <c r="AA135" s="1205"/>
      <c r="AB135" s="1198"/>
      <c r="AC135" s="1198"/>
      <c r="AD135" s="1198"/>
    </row>
    <row r="136" customFormat="false" ht="9" hidden="false" customHeight="true" outlineLevel="0" collapsed="false">
      <c r="A136" s="1216"/>
      <c r="B136" s="1216"/>
      <c r="C136" s="1214"/>
      <c r="D136" s="1214"/>
      <c r="E136" s="1214"/>
      <c r="F136" s="1214"/>
      <c r="G136" s="1214"/>
      <c r="H136" s="1232"/>
      <c r="I136" s="1232"/>
      <c r="J136" s="1232"/>
      <c r="K136" s="1232"/>
      <c r="L136" s="1232"/>
      <c r="M136" s="1214"/>
      <c r="N136" s="1237"/>
      <c r="O136" s="1230"/>
      <c r="P136" s="1230"/>
      <c r="Q136" s="1230"/>
      <c r="R136" s="1230"/>
      <c r="S136" s="1214"/>
      <c r="T136" s="1214"/>
      <c r="U136" s="1214"/>
      <c r="V136" s="1214"/>
      <c r="W136" s="1214"/>
      <c r="X136" s="1214"/>
      <c r="Y136" s="1218"/>
      <c r="Z136" s="1198"/>
      <c r="AA136" s="1205"/>
      <c r="AB136" s="1198"/>
      <c r="AC136" s="1198"/>
      <c r="AD136" s="1198"/>
    </row>
    <row r="137" customFormat="false" ht="9" hidden="false" customHeight="true" outlineLevel="0" collapsed="false">
      <c r="A137" s="1216"/>
      <c r="B137" s="1216"/>
      <c r="C137" s="1214"/>
      <c r="D137" s="1214"/>
      <c r="E137" s="1214"/>
      <c r="F137" s="1214"/>
      <c r="G137" s="1214"/>
      <c r="H137" s="1232"/>
      <c r="I137" s="1232"/>
      <c r="J137" s="1232"/>
      <c r="K137" s="1232"/>
      <c r="L137" s="1232"/>
      <c r="M137" s="1214"/>
      <c r="N137" s="1237"/>
      <c r="O137" s="1240"/>
      <c r="P137" s="1240"/>
      <c r="Q137" s="1240"/>
      <c r="R137" s="1240"/>
      <c r="S137" s="1214"/>
      <c r="T137" s="1214"/>
      <c r="U137" s="1214"/>
      <c r="V137" s="1214"/>
      <c r="W137" s="1214"/>
      <c r="X137" s="1214"/>
      <c r="Y137" s="1218"/>
      <c r="Z137" s="1198"/>
      <c r="AA137" s="1205"/>
      <c r="AB137" s="1198"/>
      <c r="AC137" s="1198"/>
      <c r="AD137" s="1198"/>
    </row>
    <row r="138" customFormat="false" ht="9" hidden="false" customHeight="true" outlineLevel="0" collapsed="false">
      <c r="A138" s="1216"/>
      <c r="B138" s="1216"/>
      <c r="C138" s="1214"/>
      <c r="D138" s="1214"/>
      <c r="E138" s="1214"/>
      <c r="F138" s="1214"/>
      <c r="G138" s="1214"/>
      <c r="H138" s="1232"/>
      <c r="I138" s="1232"/>
      <c r="J138" s="1232"/>
      <c r="K138" s="1232"/>
      <c r="L138" s="1232"/>
      <c r="M138" s="1214"/>
      <c r="N138" s="1237"/>
      <c r="O138" s="1233"/>
      <c r="P138" s="1233"/>
      <c r="Q138" s="1233"/>
      <c r="R138" s="1233"/>
      <c r="S138" s="1214"/>
      <c r="T138" s="1214"/>
      <c r="U138" s="1214"/>
      <c r="V138" s="1214"/>
      <c r="W138" s="1214"/>
      <c r="X138" s="1214"/>
      <c r="Y138" s="1218"/>
      <c r="Z138" s="1198"/>
      <c r="AA138" s="1205"/>
      <c r="AB138" s="1198"/>
      <c r="AC138" s="1198"/>
      <c r="AD138" s="1198"/>
    </row>
    <row r="139" customFormat="false" ht="9" hidden="false" customHeight="true" outlineLevel="0" collapsed="false">
      <c r="A139" s="1216"/>
      <c r="B139" s="1216"/>
      <c r="C139" s="1214"/>
      <c r="D139" s="1214"/>
      <c r="E139" s="1214"/>
      <c r="F139" s="1214"/>
      <c r="G139" s="1214"/>
      <c r="H139" s="1232"/>
      <c r="I139" s="1232"/>
      <c r="J139" s="1232"/>
      <c r="K139" s="1232"/>
      <c r="L139" s="1232"/>
      <c r="M139" s="1214"/>
      <c r="N139" s="1237"/>
      <c r="O139" s="1214"/>
      <c r="P139" s="1214"/>
      <c r="Q139" s="1214"/>
      <c r="R139" s="1214"/>
      <c r="S139" s="1214"/>
      <c r="T139" s="1214"/>
      <c r="U139" s="1214"/>
      <c r="V139" s="1214"/>
      <c r="W139" s="1214"/>
      <c r="X139" s="1214"/>
      <c r="Y139" s="1218"/>
      <c r="Z139" s="1198"/>
      <c r="AA139" s="1205"/>
      <c r="AB139" s="1198"/>
      <c r="AC139" s="1198"/>
      <c r="AD139" s="1198"/>
    </row>
    <row r="140" customFormat="false" ht="9" hidden="false" customHeight="true" outlineLevel="0" collapsed="false">
      <c r="A140" s="1216"/>
      <c r="B140" s="1216"/>
      <c r="C140" s="1214"/>
      <c r="D140" s="1214"/>
      <c r="E140" s="1214"/>
      <c r="F140" s="1214"/>
      <c r="G140" s="1214"/>
      <c r="H140" s="1232"/>
      <c r="I140" s="1232"/>
      <c r="J140" s="1232"/>
      <c r="K140" s="1232"/>
      <c r="L140" s="1232"/>
      <c r="M140" s="1214"/>
      <c r="N140" s="1237"/>
      <c r="O140" s="1214"/>
      <c r="P140" s="1214"/>
      <c r="Q140" s="1214"/>
      <c r="R140" s="1214"/>
      <c r="S140" s="1214"/>
      <c r="T140" s="1214"/>
      <c r="U140" s="1214"/>
      <c r="V140" s="1214"/>
      <c r="W140" s="1214"/>
      <c r="X140" s="1214"/>
      <c r="Y140" s="1218"/>
      <c r="Z140" s="1198"/>
      <c r="AA140" s="1205"/>
      <c r="AB140" s="1198"/>
      <c r="AC140" s="1198"/>
      <c r="AD140" s="1198"/>
    </row>
    <row r="141" customFormat="false" ht="9" hidden="false" customHeight="true" outlineLevel="0" collapsed="false">
      <c r="A141" s="1216"/>
      <c r="B141" s="1216"/>
      <c r="C141" s="1214"/>
      <c r="D141" s="1214"/>
      <c r="E141" s="1214"/>
      <c r="F141" s="1214"/>
      <c r="G141" s="1214"/>
      <c r="H141" s="1232"/>
      <c r="I141" s="1232"/>
      <c r="J141" s="1232"/>
      <c r="K141" s="1232"/>
      <c r="L141" s="1232"/>
      <c r="M141" s="1214"/>
      <c r="N141" s="1237"/>
      <c r="O141" s="1214"/>
      <c r="P141" s="1214"/>
      <c r="Q141" s="1214"/>
      <c r="R141" s="1214"/>
      <c r="S141" s="1214"/>
      <c r="T141" s="1214"/>
      <c r="U141" s="1214"/>
      <c r="V141" s="1214"/>
      <c r="W141" s="1214"/>
      <c r="X141" s="1214"/>
      <c r="Y141" s="1218"/>
      <c r="Z141" s="1198"/>
      <c r="AA141" s="1205"/>
      <c r="AB141" s="1198"/>
      <c r="AC141" s="1198"/>
      <c r="AD141" s="1198"/>
    </row>
    <row r="142" customFormat="false" ht="9" hidden="false" customHeight="true" outlineLevel="0" collapsed="false">
      <c r="A142" s="1216"/>
      <c r="B142" s="1216"/>
      <c r="C142" s="1214"/>
      <c r="D142" s="1214"/>
      <c r="E142" s="1214"/>
      <c r="F142" s="1214"/>
      <c r="G142" s="1214"/>
      <c r="H142" s="1232"/>
      <c r="I142" s="1232"/>
      <c r="J142" s="1232"/>
      <c r="K142" s="1232"/>
      <c r="L142" s="1232"/>
      <c r="M142" s="1214"/>
      <c r="N142" s="1237"/>
      <c r="O142" s="1214"/>
      <c r="P142" s="1214"/>
      <c r="Q142" s="1214"/>
      <c r="R142" s="1214"/>
      <c r="S142" s="1214"/>
      <c r="T142" s="1214"/>
      <c r="U142" s="1214"/>
      <c r="V142" s="1214"/>
      <c r="W142" s="1214"/>
      <c r="X142" s="1214"/>
      <c r="Y142" s="1218"/>
      <c r="Z142" s="1198"/>
      <c r="AA142" s="1205"/>
      <c r="AB142" s="1198"/>
      <c r="AC142" s="1198"/>
      <c r="AD142" s="1198"/>
    </row>
    <row r="143" customFormat="false" ht="9" hidden="false" customHeight="true" outlineLevel="0" collapsed="false">
      <c r="A143" s="1216"/>
      <c r="B143" s="1216"/>
      <c r="C143" s="1214"/>
      <c r="D143" s="1214"/>
      <c r="E143" s="1214"/>
      <c r="F143" s="1214"/>
      <c r="G143" s="1214"/>
      <c r="H143" s="1232"/>
      <c r="I143" s="1232"/>
      <c r="J143" s="1232"/>
      <c r="K143" s="1232"/>
      <c r="L143" s="1232"/>
      <c r="M143" s="1214"/>
      <c r="N143" s="1237"/>
      <c r="O143" s="1214"/>
      <c r="P143" s="1214"/>
      <c r="Q143" s="1214"/>
      <c r="R143" s="1214"/>
      <c r="S143" s="1214"/>
      <c r="T143" s="1214"/>
      <c r="U143" s="1214"/>
      <c r="V143" s="1214"/>
      <c r="W143" s="1214"/>
      <c r="X143" s="1214"/>
      <c r="Y143" s="1218"/>
      <c r="Z143" s="1198"/>
      <c r="AA143" s="1205"/>
      <c r="AB143" s="1198"/>
      <c r="AC143" s="1198"/>
      <c r="AD143" s="1198"/>
    </row>
    <row r="144" customFormat="false" ht="9" hidden="false" customHeight="true" outlineLevel="0" collapsed="false">
      <c r="A144" s="1216"/>
      <c r="B144" s="1216"/>
      <c r="C144" s="1214"/>
      <c r="D144" s="1214"/>
      <c r="E144" s="1214"/>
      <c r="F144" s="1214"/>
      <c r="G144" s="1214"/>
      <c r="H144" s="1232"/>
      <c r="I144" s="1232"/>
      <c r="J144" s="1232"/>
      <c r="K144" s="1232"/>
      <c r="L144" s="1232"/>
      <c r="M144" s="1214"/>
      <c r="N144" s="1237"/>
      <c r="O144" s="1214"/>
      <c r="P144" s="1214"/>
      <c r="Q144" s="1214"/>
      <c r="R144" s="1214"/>
      <c r="S144" s="1214"/>
      <c r="T144" s="1214"/>
      <c r="U144" s="1214"/>
      <c r="V144" s="1214"/>
      <c r="W144" s="1214"/>
      <c r="X144" s="1214"/>
      <c r="Y144" s="1218"/>
      <c r="Z144" s="1198"/>
      <c r="AA144" s="1205"/>
      <c r="AB144" s="1198"/>
      <c r="AC144" s="1198"/>
      <c r="AD144" s="1198"/>
    </row>
    <row r="145" customFormat="false" ht="9" hidden="false" customHeight="true" outlineLevel="0" collapsed="false">
      <c r="A145" s="1216"/>
      <c r="B145" s="1216"/>
      <c r="C145" s="1214"/>
      <c r="D145" s="1214"/>
      <c r="E145" s="1214"/>
      <c r="F145" s="1214"/>
      <c r="G145" s="1214"/>
      <c r="H145" s="1232"/>
      <c r="I145" s="1232"/>
      <c r="J145" s="1232"/>
      <c r="K145" s="1232"/>
      <c r="L145" s="1232"/>
      <c r="M145" s="1214"/>
      <c r="N145" s="1237"/>
      <c r="O145" s="1214"/>
      <c r="P145" s="1214"/>
      <c r="Q145" s="1214"/>
      <c r="R145" s="1214"/>
      <c r="S145" s="1214"/>
      <c r="T145" s="1214"/>
      <c r="U145" s="1214"/>
      <c r="V145" s="1214"/>
      <c r="W145" s="1214"/>
      <c r="X145" s="1214"/>
      <c r="Y145" s="1218"/>
      <c r="Z145" s="1198"/>
      <c r="AA145" s="1205"/>
      <c r="AB145" s="1198"/>
      <c r="AC145" s="1198"/>
      <c r="AD145" s="1198"/>
    </row>
    <row r="146" customFormat="false" ht="9" hidden="false" customHeight="true" outlineLevel="0" collapsed="false">
      <c r="A146" s="1216"/>
      <c r="B146" s="1216"/>
      <c r="C146" s="1214"/>
      <c r="D146" s="1214"/>
      <c r="E146" s="1214"/>
      <c r="F146" s="1214"/>
      <c r="G146" s="1214"/>
      <c r="H146" s="1232"/>
      <c r="I146" s="1232"/>
      <c r="J146" s="1232"/>
      <c r="K146" s="1232"/>
      <c r="L146" s="1232"/>
      <c r="M146" s="1214"/>
      <c r="N146" s="1237"/>
      <c r="O146" s="1214"/>
      <c r="P146" s="1214"/>
      <c r="Q146" s="1214"/>
      <c r="R146" s="1214"/>
      <c r="S146" s="1214"/>
      <c r="T146" s="1214"/>
      <c r="U146" s="1214"/>
      <c r="V146" s="1214"/>
      <c r="W146" s="1214"/>
      <c r="X146" s="1214"/>
      <c r="Y146" s="1218"/>
      <c r="Z146" s="1198"/>
      <c r="AA146" s="1205"/>
      <c r="AB146" s="1198"/>
      <c r="AC146" s="1198"/>
      <c r="AD146" s="1198"/>
    </row>
    <row r="147" customFormat="false" ht="9" hidden="false" customHeight="true" outlineLevel="0" collapsed="false">
      <c r="A147" s="1216"/>
      <c r="B147" s="1216"/>
      <c r="C147" s="1216"/>
      <c r="D147" s="1216"/>
      <c r="E147" s="1216"/>
      <c r="F147" s="1216"/>
      <c r="G147" s="1216"/>
      <c r="H147" s="1216"/>
      <c r="I147" s="1216"/>
      <c r="J147" s="1216"/>
      <c r="K147" s="1216"/>
      <c r="L147" s="1216"/>
      <c r="M147" s="1216"/>
      <c r="N147" s="1216"/>
      <c r="O147" s="1216"/>
      <c r="P147" s="1216"/>
      <c r="Q147" s="1216"/>
      <c r="R147" s="1216"/>
      <c r="S147" s="1216"/>
      <c r="T147" s="1216"/>
      <c r="U147" s="1216"/>
      <c r="V147" s="1216"/>
      <c r="W147" s="1216"/>
      <c r="X147" s="1216"/>
      <c r="Y147" s="1216"/>
      <c r="Z147" s="1216"/>
      <c r="AA147" s="1216"/>
      <c r="AB147" s="1216"/>
      <c r="AC147" s="1216"/>
      <c r="AD147" s="1216"/>
    </row>
    <row r="148" customFormat="false" ht="90" hidden="false" customHeight="true" outlineLevel="0" collapsed="false">
      <c r="A148" s="1216" t="s">
        <v>1657</v>
      </c>
      <c r="B148" s="1216"/>
      <c r="C148" s="1214" t="s">
        <v>2219</v>
      </c>
      <c r="D148" s="1214" t="s">
        <v>1560</v>
      </c>
      <c r="E148" s="1214" t="s">
        <v>1659</v>
      </c>
      <c r="F148" s="1214" t="s">
        <v>2220</v>
      </c>
      <c r="G148" s="1214"/>
      <c r="H148" s="1214"/>
      <c r="I148" s="1241"/>
      <c r="J148" s="1241"/>
      <c r="K148" s="1241"/>
      <c r="L148" s="1241"/>
      <c r="M148" s="1242" t="str">
        <f aca="false">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224"/>
      <c r="O148" s="1214"/>
      <c r="P148" s="1217"/>
      <c r="Q148" s="1217"/>
      <c r="R148" s="1217"/>
      <c r="S148" s="1214"/>
      <c r="T148" s="1214" t="s">
        <v>2221</v>
      </c>
      <c r="U148" s="1217" t="str">
        <f aca="fals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217"/>
      <c r="W148" s="1217"/>
      <c r="X148" s="1214" t="s">
        <v>2222</v>
      </c>
      <c r="Y148" s="1218"/>
      <c r="Z148" s="1198"/>
      <c r="AA148" s="1205"/>
      <c r="AB148" s="1198"/>
      <c r="AC148" s="1198"/>
      <c r="AD148" s="1198"/>
    </row>
    <row r="149" customFormat="false" ht="9" hidden="false" customHeight="true" outlineLevel="0" collapsed="false">
      <c r="A149" s="1216"/>
      <c r="B149" s="1216"/>
      <c r="C149" s="1216"/>
      <c r="D149" s="1216"/>
      <c r="E149" s="1216"/>
      <c r="F149" s="1216"/>
      <c r="G149" s="1216"/>
      <c r="H149" s="1216"/>
      <c r="I149" s="1216"/>
      <c r="J149" s="1216"/>
      <c r="K149" s="1216"/>
      <c r="L149" s="1216"/>
      <c r="M149" s="1216"/>
      <c r="N149" s="1216"/>
      <c r="O149" s="1216"/>
      <c r="P149" s="1216"/>
      <c r="Q149" s="1216"/>
      <c r="R149" s="1216"/>
      <c r="S149" s="1216"/>
      <c r="T149" s="1216"/>
      <c r="U149" s="1216"/>
      <c r="V149" s="1216"/>
      <c r="W149" s="1216"/>
      <c r="X149" s="1216"/>
      <c r="Y149" s="1216"/>
      <c r="Z149" s="1216"/>
      <c r="AA149" s="1216"/>
      <c r="AB149" s="1216"/>
      <c r="AC149" s="1216"/>
      <c r="AD149" s="1216"/>
    </row>
    <row r="150" customFormat="false" ht="9" hidden="false" customHeight="true" outlineLevel="0" collapsed="false">
      <c r="A150" s="1216" t="s">
        <v>1661</v>
      </c>
      <c r="B150" s="1216"/>
      <c r="C150" s="1214"/>
      <c r="D150" s="1214"/>
      <c r="E150" s="1214"/>
      <c r="F150" s="1214"/>
      <c r="G150" s="1214"/>
      <c r="H150" s="1214"/>
      <c r="I150" s="1214"/>
      <c r="J150" s="1214"/>
      <c r="K150" s="1214"/>
      <c r="L150" s="1214"/>
      <c r="M150" s="1214"/>
      <c r="N150" s="1214"/>
      <c r="O150" s="1214"/>
      <c r="P150" s="1214"/>
      <c r="Q150" s="1214"/>
      <c r="R150" s="1214"/>
      <c r="S150" s="1214"/>
      <c r="T150" s="1214"/>
      <c r="U150" s="1214"/>
      <c r="V150" s="1214"/>
      <c r="W150" s="1214"/>
      <c r="X150" s="1214"/>
      <c r="Y150" s="1218"/>
      <c r="Z150" s="1198"/>
      <c r="AA150" s="1205"/>
      <c r="AB150" s="1198"/>
      <c r="AC150" s="1198"/>
      <c r="AD150" s="1198"/>
    </row>
    <row r="151" customFormat="false" ht="9" hidden="false" customHeight="true" outlineLevel="0" collapsed="false">
      <c r="A151" s="1216"/>
      <c r="B151" s="1216"/>
      <c r="C151" s="1216"/>
      <c r="D151" s="1216"/>
      <c r="E151" s="1216"/>
      <c r="F151" s="1216"/>
      <c r="G151" s="1216"/>
      <c r="H151" s="1216"/>
      <c r="I151" s="1216"/>
      <c r="J151" s="1216"/>
      <c r="K151" s="1216"/>
      <c r="L151" s="1216"/>
      <c r="M151" s="1216"/>
      <c r="N151" s="1216"/>
      <c r="O151" s="1216"/>
      <c r="P151" s="1216"/>
      <c r="Q151" s="1216"/>
      <c r="R151" s="1216"/>
      <c r="S151" s="1216"/>
      <c r="T151" s="1216"/>
      <c r="U151" s="1216"/>
      <c r="V151" s="1216"/>
      <c r="W151" s="1216"/>
      <c r="X151" s="1216"/>
      <c r="Y151" s="1216"/>
      <c r="Z151" s="1216"/>
      <c r="AA151" s="1216"/>
      <c r="AB151" s="1216"/>
      <c r="AC151" s="1216"/>
      <c r="AD151" s="1216"/>
    </row>
    <row r="152" customFormat="false" ht="9" hidden="false" customHeight="true" outlineLevel="0" collapsed="false">
      <c r="A152" s="1216" t="s">
        <v>1664</v>
      </c>
      <c r="B152" s="1216"/>
      <c r="C152" s="1214"/>
      <c r="D152" s="1214"/>
      <c r="E152" s="1214"/>
      <c r="F152" s="1214"/>
      <c r="G152" s="1214"/>
      <c r="H152" s="1214"/>
      <c r="I152" s="1214"/>
      <c r="J152" s="1214"/>
      <c r="K152" s="1214"/>
      <c r="L152" s="1214"/>
      <c r="M152" s="1214"/>
      <c r="N152" s="1214"/>
      <c r="O152" s="1214"/>
      <c r="P152" s="1214"/>
      <c r="Q152" s="1214"/>
      <c r="R152" s="1214"/>
      <c r="S152" s="1214"/>
      <c r="T152" s="1214"/>
      <c r="U152" s="1214"/>
      <c r="V152" s="1214"/>
      <c r="W152" s="1214"/>
      <c r="X152" s="1214"/>
      <c r="Y152" s="1218"/>
      <c r="Z152" s="1198"/>
      <c r="AA152" s="1205"/>
      <c r="AB152" s="1198"/>
      <c r="AC152" s="1198"/>
      <c r="AD152" s="1198"/>
    </row>
    <row r="153" customFormat="false" ht="9" hidden="false" customHeight="true" outlineLevel="0" collapsed="false">
      <c r="A153" s="1216"/>
      <c r="B153" s="1216"/>
      <c r="C153" s="1216"/>
      <c r="D153" s="1216"/>
      <c r="E153" s="1216"/>
      <c r="F153" s="1216"/>
      <c r="G153" s="1216"/>
      <c r="H153" s="1216"/>
      <c r="I153" s="1216"/>
      <c r="J153" s="1216"/>
      <c r="K153" s="1216"/>
      <c r="L153" s="1216"/>
      <c r="M153" s="1216"/>
      <c r="N153" s="1216"/>
      <c r="O153" s="1216"/>
      <c r="P153" s="1216"/>
      <c r="Q153" s="1216"/>
      <c r="R153" s="1216"/>
      <c r="S153" s="1216"/>
      <c r="T153" s="1216"/>
      <c r="U153" s="1216"/>
      <c r="V153" s="1216"/>
      <c r="W153" s="1216"/>
      <c r="X153" s="1216"/>
      <c r="Y153" s="1216"/>
      <c r="Z153" s="1216"/>
      <c r="AA153" s="1216"/>
      <c r="AB153" s="1216"/>
      <c r="AC153" s="1216"/>
      <c r="AD153" s="1216"/>
    </row>
    <row r="154" customFormat="false" ht="9" hidden="false" customHeight="true" outlineLevel="0" collapsed="false">
      <c r="A154" s="1216" t="s">
        <v>1669</v>
      </c>
      <c r="B154" s="1216"/>
      <c r="C154" s="1214"/>
      <c r="D154" s="1214"/>
      <c r="E154" s="1214"/>
      <c r="F154" s="1214"/>
      <c r="G154" s="1214"/>
      <c r="H154" s="1214"/>
      <c r="I154" s="1214"/>
      <c r="J154" s="1214"/>
      <c r="K154" s="1214"/>
      <c r="L154" s="1214"/>
      <c r="M154" s="1214"/>
      <c r="N154" s="1214"/>
      <c r="O154" s="1214"/>
      <c r="P154" s="1214"/>
      <c r="Q154" s="1214"/>
      <c r="R154" s="1214"/>
      <c r="S154" s="1214"/>
      <c r="T154" s="1214"/>
      <c r="U154" s="1214"/>
      <c r="V154" s="1214"/>
      <c r="W154" s="1214"/>
      <c r="X154" s="1214"/>
      <c r="Y154" s="1218"/>
      <c r="Z154" s="1198"/>
      <c r="AA154" s="1205"/>
      <c r="AB154" s="1198"/>
      <c r="AC154" s="1198"/>
      <c r="AD154" s="1198"/>
    </row>
  </sheetData>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2.28"/>
    <col collapsed="false" customWidth="true" hidden="true" outlineLevel="0" max="8" min="6" style="53" width="12.28"/>
    <col collapsed="false" customWidth="true" hidden="false" outlineLevel="0" max="9" min="9" style="52" width="3"/>
    <col collapsed="false" customWidth="true" hidden="false" outlineLevel="0" max="11" min="10" style="416" width="3"/>
    <col collapsed="false" customWidth="true" hidden="false" outlineLevel="0" max="12" min="12" style="77" width="12"/>
    <col collapsed="false" customWidth="true" hidden="false" outlineLevel="0" max="13" min="13" style="42" width="31"/>
    <col collapsed="false" customWidth="true" hidden="false" outlineLevel="0" max="14" min="14" style="42" width="1"/>
    <col collapsed="false" customWidth="true" hidden="false" outlineLevel="0" max="18" min="15" style="42" width="24"/>
    <col collapsed="false" customWidth="true" hidden="false" outlineLevel="0" max="19" min="19" style="42" width="11"/>
    <col collapsed="false" customWidth="true" hidden="false" outlineLevel="0" max="20" min="20" style="42" width="3.71"/>
    <col collapsed="false" customWidth="true" hidden="false" outlineLevel="0" max="21" min="21" style="42" width="11"/>
    <col collapsed="false" customWidth="true" hidden="false" outlineLevel="0" max="22" min="22" style="42" width="8.57"/>
    <col collapsed="false" customWidth="true" hidden="false" outlineLevel="0" max="23" min="23" style="42" width="4"/>
    <col collapsed="false" customWidth="true" hidden="false" outlineLevel="0" max="24" min="24" style="42" width="115"/>
    <col collapsed="false" customWidth="true" hidden="false" outlineLevel="0" max="29" min="25" style="49" width="10"/>
    <col collapsed="false" customWidth="false" hidden="true" outlineLevel="0" max="30" min="30" style="42" width="10.57"/>
  </cols>
  <sheetData>
    <row r="1" customFormat="false" ht="22.5" hidden="true" customHeight="true" outlineLevel="0" collapsed="false">
      <c r="AD1" s="42" t="s">
        <v>14</v>
      </c>
    </row>
    <row r="2" customFormat="false" ht="14.25" hidden="true" customHeight="true" outlineLevel="0" collapsed="false">
      <c r="AD2" s="42" t="n">
        <v>0</v>
      </c>
    </row>
    <row r="3" customFormat="false" ht="14.25" hidden="true" customHeight="true" outlineLevel="0" collapsed="false">
      <c r="AD3" s="42" t="n">
        <v>0</v>
      </c>
    </row>
    <row r="4" customFormat="false" ht="14.25" hidden="false" customHeight="true" outlineLevel="0" collapsed="false">
      <c r="J4" s="470"/>
      <c r="K4" s="470"/>
      <c r="L4" s="471"/>
      <c r="M4" s="83"/>
      <c r="N4" s="83"/>
      <c r="AD4" s="42" t="n">
        <v>14</v>
      </c>
    </row>
    <row r="5" customFormat="false" ht="66.75" hidden="false" customHeight="true" outlineLevel="0" collapsed="false">
      <c r="J5" s="470"/>
      <c r="K5" s="470"/>
      <c r="L5" s="1243" t="s">
        <v>2223</v>
      </c>
      <c r="M5" s="1243"/>
      <c r="N5" s="1243"/>
      <c r="O5" s="1243"/>
      <c r="P5" s="1243"/>
      <c r="Q5" s="1243"/>
      <c r="R5" s="1243"/>
      <c r="S5" s="1243"/>
      <c r="T5" s="1243"/>
      <c r="U5" s="1243"/>
      <c r="V5" s="217"/>
      <c r="AD5" s="42" t="n">
        <v>64</v>
      </c>
    </row>
    <row r="6" customFormat="false" ht="14.25" hidden="false" customHeight="true" outlineLevel="0" collapsed="false">
      <c r="J6" s="470"/>
      <c r="K6" s="470"/>
      <c r="L6" s="1244" t="str">
        <f aca="false">IF(org=0,"Не определено",org)</f>
        <v>Филиал ПАО "ОГК-2" - Серовская ГРЭС, г. Серов</v>
      </c>
      <c r="M6" s="1244"/>
      <c r="N6" s="1244"/>
      <c r="O6" s="1244"/>
      <c r="P6" s="1244"/>
      <c r="Q6" s="1244"/>
      <c r="R6" s="1244"/>
      <c r="S6" s="1244"/>
      <c r="T6" s="1244"/>
      <c r="U6" s="1244"/>
      <c r="V6" s="217"/>
      <c r="AD6" s="42" t="n">
        <v>14</v>
      </c>
    </row>
    <row r="7" customFormat="false" ht="14.25" hidden="false" customHeight="true" outlineLevel="0" collapsed="false">
      <c r="J7" s="470"/>
      <c r="K7" s="470"/>
      <c r="L7" s="471"/>
      <c r="M7" s="83"/>
      <c r="N7" s="83"/>
      <c r="O7" s="472"/>
      <c r="P7" s="472"/>
      <c r="Q7" s="472"/>
      <c r="R7" s="472"/>
      <c r="S7" s="472"/>
      <c r="T7" s="472"/>
      <c r="U7" s="472"/>
      <c r="V7" s="472"/>
      <c r="AD7" s="42" t="n">
        <v>14</v>
      </c>
    </row>
    <row r="8" s="177" customFormat="true" ht="48" hidden="false" customHeight="true" outlineLevel="0" collapsed="false">
      <c r="A8" s="144"/>
      <c r="B8" s="144"/>
      <c r="C8" s="144"/>
      <c r="D8" s="144"/>
      <c r="E8" s="144"/>
      <c r="F8" s="144"/>
      <c r="G8" s="144"/>
      <c r="H8" s="144"/>
      <c r="L8" s="915"/>
      <c r="M8" s="473" t="s">
        <v>41</v>
      </c>
      <c r="N8" s="899"/>
      <c r="O8" s="475" t="str">
        <f aca="false">IF(TITLE_NAME_OR_PR_CHANGE="",IF(TITLE_NAME_OR_PR="","",TITLE_NAME_OR_PR),TITLE_NAME_OR_PR_CHANGE)</f>
        <v/>
      </c>
      <c r="P8" s="475"/>
      <c r="Q8" s="475"/>
      <c r="R8" s="475"/>
      <c r="S8" s="475"/>
      <c r="T8" s="475"/>
      <c r="U8" s="475"/>
      <c r="V8" s="42"/>
      <c r="W8" s="42"/>
      <c r="X8" s="476"/>
      <c r="Y8" s="122"/>
      <c r="Z8" s="122"/>
      <c r="AA8" s="122"/>
      <c r="AB8" s="122"/>
      <c r="AC8" s="122"/>
      <c r="AD8" s="177" t="n">
        <v>46</v>
      </c>
    </row>
    <row r="9" s="177" customFormat="true" ht="24" hidden="false" customHeight="true" outlineLevel="0" collapsed="false">
      <c r="A9" s="144"/>
      <c r="B9" s="144"/>
      <c r="C9" s="144"/>
      <c r="D9" s="144"/>
      <c r="E9" s="144"/>
      <c r="F9" s="144"/>
      <c r="G9" s="144"/>
      <c r="H9" s="144"/>
      <c r="L9" s="915"/>
      <c r="M9" s="473" t="s">
        <v>420</v>
      </c>
      <c r="N9" s="899"/>
      <c r="O9" s="475" t="str">
        <f aca="false">IF(TITLE_DATE_CHANGE_PERIOD="",IF(TITLE_DATE_PR="","",TITLE_DATE_PR),TITLE_DATE_CHANGE_PERIOD)</f>
        <v/>
      </c>
      <c r="P9" s="475"/>
      <c r="Q9" s="475"/>
      <c r="R9" s="475"/>
      <c r="S9" s="475"/>
      <c r="T9" s="475"/>
      <c r="U9" s="475"/>
      <c r="V9" s="42"/>
      <c r="W9" s="42"/>
      <c r="X9" s="476"/>
      <c r="Y9" s="122"/>
      <c r="Z9" s="122"/>
      <c r="AA9" s="122"/>
      <c r="AB9" s="122"/>
      <c r="AC9" s="122"/>
      <c r="AD9" s="177" t="n">
        <v>23</v>
      </c>
    </row>
    <row r="10" s="177" customFormat="true" ht="24" hidden="false" customHeight="true" outlineLevel="0" collapsed="false">
      <c r="A10" s="144"/>
      <c r="B10" s="144"/>
      <c r="C10" s="144"/>
      <c r="D10" s="144"/>
      <c r="E10" s="144"/>
      <c r="F10" s="144"/>
      <c r="G10" s="144"/>
      <c r="H10" s="144"/>
      <c r="L10" s="77"/>
      <c r="M10" s="473" t="s">
        <v>421</v>
      </c>
      <c r="N10" s="899"/>
      <c r="O10" s="475" t="str">
        <f aca="false">IF(TITLE_NUMBER_PR_CHANGE="",IF(TITLE_NUMBER_PR="","",TITLE_NUMBER_PR),TITLE_NUMBER_PR_CHANGE)</f>
        <v/>
      </c>
      <c r="P10" s="475"/>
      <c r="Q10" s="475"/>
      <c r="R10" s="475"/>
      <c r="S10" s="475"/>
      <c r="T10" s="475"/>
      <c r="U10" s="475"/>
      <c r="V10" s="42"/>
      <c r="W10" s="42"/>
      <c r="X10" s="476"/>
      <c r="Y10" s="122"/>
      <c r="Z10" s="122"/>
      <c r="AA10" s="122"/>
      <c r="AB10" s="122"/>
      <c r="AC10" s="122"/>
      <c r="AD10" s="177" t="n">
        <v>23</v>
      </c>
    </row>
    <row r="11" s="177" customFormat="true" ht="24" hidden="false" customHeight="true" outlineLevel="0" collapsed="false">
      <c r="A11" s="144"/>
      <c r="B11" s="144"/>
      <c r="C11" s="144"/>
      <c r="D11" s="144"/>
      <c r="E11" s="144"/>
      <c r="F11" s="144"/>
      <c r="G11" s="144"/>
      <c r="H11" s="144"/>
      <c r="L11" s="77"/>
      <c r="M11" s="473" t="s">
        <v>42</v>
      </c>
      <c r="N11" s="899"/>
      <c r="O11" s="475" t="str">
        <f aca="false">IF(TITLE_IST_PUB_CHANGE="",IF(TITLE_IST_PUB="","",TITLE_IST_PUB),TITLE_IST_PUB_CHANGE)</f>
        <v/>
      </c>
      <c r="P11" s="475"/>
      <c r="Q11" s="475"/>
      <c r="R11" s="475"/>
      <c r="S11" s="475"/>
      <c r="T11" s="475"/>
      <c r="U11" s="475"/>
      <c r="V11" s="42"/>
      <c r="W11" s="42"/>
      <c r="X11" s="476"/>
      <c r="Y11" s="122"/>
      <c r="Z11" s="122"/>
      <c r="AA11" s="122"/>
      <c r="AB11" s="122"/>
      <c r="AC11" s="122"/>
      <c r="AD11" s="177" t="n">
        <v>23</v>
      </c>
    </row>
    <row r="12" s="177" customFormat="true" ht="11.25" hidden="true" customHeight="true" outlineLevel="0" collapsed="false">
      <c r="A12" s="144"/>
      <c r="B12" s="144"/>
      <c r="C12" s="144"/>
      <c r="D12" s="144"/>
      <c r="E12" s="144"/>
      <c r="F12" s="144"/>
      <c r="G12" s="144"/>
      <c r="H12" s="144"/>
      <c r="L12" s="132"/>
      <c r="M12" s="132"/>
      <c r="N12" s="132"/>
      <c r="O12" s="42"/>
      <c r="P12" s="42"/>
      <c r="Q12" s="42"/>
      <c r="R12" s="42"/>
      <c r="S12" s="42"/>
      <c r="T12" s="42"/>
      <c r="U12" s="42"/>
      <c r="V12" s="49" t="s">
        <v>424</v>
      </c>
      <c r="Y12" s="122"/>
      <c r="Z12" s="122"/>
      <c r="AA12" s="122"/>
      <c r="AB12" s="122"/>
      <c r="AC12" s="122"/>
      <c r="AD12" s="177" t="n">
        <v>0</v>
      </c>
    </row>
    <row r="13" customFormat="false" ht="14.25" hidden="false" customHeight="true" outlineLevel="0" collapsed="false">
      <c r="J13" s="470"/>
      <c r="K13" s="470"/>
      <c r="L13" s="471"/>
      <c r="M13" s="83"/>
      <c r="N13" s="478"/>
      <c r="O13" s="479"/>
      <c r="P13" s="479"/>
      <c r="Q13" s="479"/>
      <c r="R13" s="479"/>
      <c r="S13" s="479"/>
      <c r="T13" s="479"/>
      <c r="U13" s="479"/>
      <c r="V13" s="479"/>
      <c r="AD13" s="42" t="n">
        <v>14</v>
      </c>
    </row>
    <row r="14" customFormat="false" ht="14.25" hidden="false" customHeight="true" outlineLevel="0" collapsed="false">
      <c r="J14" s="470"/>
      <c r="K14" s="470"/>
      <c r="L14" s="138" t="s">
        <v>297</v>
      </c>
      <c r="M14" s="138"/>
      <c r="N14" s="138"/>
      <c r="O14" s="138"/>
      <c r="P14" s="138"/>
      <c r="Q14" s="138"/>
      <c r="R14" s="138"/>
      <c r="S14" s="138"/>
      <c r="T14" s="138"/>
      <c r="U14" s="138"/>
      <c r="V14" s="138"/>
      <c r="W14" s="138"/>
      <c r="X14" s="138" t="s">
        <v>298</v>
      </c>
      <c r="AD14" s="42" t="n">
        <v>14</v>
      </c>
    </row>
    <row r="15" customFormat="false" ht="14.25" hidden="false" customHeight="true" outlineLevel="0" collapsed="false">
      <c r="J15" s="470"/>
      <c r="K15" s="470"/>
      <c r="L15" s="480" t="s">
        <v>86</v>
      </c>
      <c r="M15" s="395" t="s">
        <v>425</v>
      </c>
      <c r="N15" s="481"/>
      <c r="O15" s="294" t="s">
        <v>2224</v>
      </c>
      <c r="P15" s="294"/>
      <c r="Q15" s="294"/>
      <c r="R15" s="294"/>
      <c r="S15" s="294"/>
      <c r="T15" s="294"/>
      <c r="U15" s="294"/>
      <c r="V15" s="395" t="s">
        <v>427</v>
      </c>
      <c r="W15" s="482" t="s">
        <v>1143</v>
      </c>
      <c r="X15" s="138"/>
      <c r="AD15" s="42" t="n">
        <v>14</v>
      </c>
    </row>
    <row r="16" customFormat="false" ht="35.25" hidden="false" customHeight="true" outlineLevel="0" collapsed="false">
      <c r="J16" s="470"/>
      <c r="K16" s="470"/>
      <c r="L16" s="480"/>
      <c r="M16" s="395"/>
      <c r="N16" s="483"/>
      <c r="O16" s="484" t="s">
        <v>430</v>
      </c>
      <c r="P16" s="484" t="s">
        <v>431</v>
      </c>
      <c r="Q16" s="138" t="s">
        <v>432</v>
      </c>
      <c r="R16" s="138"/>
      <c r="S16" s="138" t="s">
        <v>446</v>
      </c>
      <c r="T16" s="138"/>
      <c r="U16" s="138"/>
      <c r="V16" s="395"/>
      <c r="W16" s="482"/>
      <c r="X16" s="138"/>
      <c r="AD16" s="42" t="n">
        <v>34</v>
      </c>
    </row>
    <row r="17" customFormat="false" ht="35.25" hidden="false" customHeight="true" outlineLevel="0" collapsed="false">
      <c r="A17" s="144" t="s">
        <v>133</v>
      </c>
      <c r="B17" s="144" t="s">
        <v>134</v>
      </c>
      <c r="C17" s="144" t="s">
        <v>135</v>
      </c>
      <c r="D17" s="144" t="s">
        <v>136</v>
      </c>
      <c r="E17" s="144"/>
      <c r="J17" s="470"/>
      <c r="K17" s="470"/>
      <c r="L17" s="480"/>
      <c r="M17" s="395"/>
      <c r="N17" s="485"/>
      <c r="O17" s="484"/>
      <c r="P17" s="484"/>
      <c r="Q17" s="220" t="s">
        <v>441</v>
      </c>
      <c r="R17" s="220" t="s">
        <v>442</v>
      </c>
      <c r="S17" s="220" t="s">
        <v>443</v>
      </c>
      <c r="T17" s="220" t="s">
        <v>444</v>
      </c>
      <c r="U17" s="220"/>
      <c r="V17" s="395"/>
      <c r="W17" s="482"/>
      <c r="X17" s="138"/>
      <c r="AD17" s="42" t="n">
        <v>34</v>
      </c>
    </row>
    <row r="18" s="124" customFormat="true" ht="11.25" hidden="false" customHeight="true" outlineLevel="0" collapsed="false">
      <c r="A18" s="144"/>
      <c r="B18" s="144"/>
      <c r="C18" s="144"/>
      <c r="D18" s="144"/>
      <c r="E18" s="144"/>
      <c r="F18" s="53"/>
      <c r="G18" s="53"/>
      <c r="H18" s="53"/>
      <c r="I18" s="486"/>
      <c r="J18" s="487"/>
      <c r="K18" s="488" t="n">
        <v>1</v>
      </c>
      <c r="L18" s="489" t="s">
        <v>107</v>
      </c>
      <c r="M18" s="490" t="s">
        <v>108</v>
      </c>
      <c r="N18" s="491" t="str">
        <f aca="true">OFFSET(N18,0,-1)</f>
        <v>2</v>
      </c>
      <c r="O18" s="492" t="n">
        <f aca="true">OFFSET(O18,0,-1)+1</f>
        <v>3</v>
      </c>
      <c r="P18" s="492"/>
      <c r="Q18" s="492" t="n">
        <f aca="true">OFFSET(Q18,0,-1)+1</f>
        <v>1</v>
      </c>
      <c r="R18" s="492" t="n">
        <f aca="true">OFFSET(R18,0,-1)+1</f>
        <v>2</v>
      </c>
      <c r="S18" s="492" t="n">
        <f aca="true">OFFSET(S18,0,-1)+1</f>
        <v>3</v>
      </c>
      <c r="T18" s="492" t="n">
        <f aca="true">OFFSET(T18,0,-1)+1</f>
        <v>4</v>
      </c>
      <c r="U18" s="492"/>
      <c r="V18" s="492" t="n">
        <f aca="true">OFFSET(V18,0,-2)+1</f>
        <v>5</v>
      </c>
      <c r="W18" s="491" t="n">
        <f aca="true">OFFSET(W18,0,-1)</f>
        <v>5</v>
      </c>
      <c r="X18" s="492" t="n">
        <f aca="true">OFFSET(X18,0,-1)+1</f>
        <v>6</v>
      </c>
      <c r="Y18" s="49"/>
      <c r="Z18" s="49"/>
      <c r="AA18" s="49"/>
      <c r="AB18" s="49"/>
      <c r="AC18" s="49"/>
      <c r="AD18" s="124" t="n">
        <v>11</v>
      </c>
    </row>
    <row r="19" customFormat="false" ht="21" hidden="false" customHeight="true" outlineLevel="0" collapsed="false">
      <c r="A19" s="417" t="s">
        <v>167</v>
      </c>
      <c r="B19" s="417" t="s">
        <v>168</v>
      </c>
      <c r="C19" s="417" t="s">
        <v>169</v>
      </c>
      <c r="D19" s="417" t="s">
        <v>170</v>
      </c>
      <c r="E19" s="417"/>
      <c r="F19" s="420"/>
      <c r="G19" s="420"/>
      <c r="H19" s="420"/>
      <c r="J19" s="136"/>
      <c r="K19" s="421"/>
      <c r="L19" s="422" t="n">
        <f aca="false">INDEX(PT_DIFFERENTIATION_NUM_NTAR,MATCH(A19,PT_DIFFERENTIATION_NTAR_ID,0))</f>
        <v>0</v>
      </c>
      <c r="M19" s="423" t="s">
        <v>122</v>
      </c>
      <c r="N19" s="424"/>
      <c r="O19" s="1245" t="str">
        <f aca="false">INDEX(PT_DIFFERENTIATION_NTAR,MATCH(A19,PT_DIFFERENTIATION_NTAR_ID,0))</f>
        <v/>
      </c>
      <c r="P19" s="1245"/>
      <c r="Q19" s="1245"/>
      <c r="R19" s="1245"/>
      <c r="S19" s="1245"/>
      <c r="T19" s="1245"/>
      <c r="U19" s="1245"/>
      <c r="V19" s="1245"/>
      <c r="W19" s="1245"/>
      <c r="X19" s="427" t="s">
        <v>393</v>
      </c>
      <c r="Z19" s="122"/>
      <c r="AA19" s="122" t="str">
        <f aca="false">IF(M19="","",M19)</f>
        <v>Наименование тарифа</v>
      </c>
      <c r="AB19" s="122"/>
      <c r="AC19" s="122"/>
      <c r="AD19" s="42" t="n">
        <v>20</v>
      </c>
    </row>
    <row r="20" customFormat="false" ht="21" hidden="false" customHeight="true" outlineLevel="0" collapsed="false">
      <c r="A20" s="417" t="s">
        <v>167</v>
      </c>
      <c r="B20" s="417" t="s">
        <v>168</v>
      </c>
      <c r="C20" s="417" t="s">
        <v>169</v>
      </c>
      <c r="D20" s="417" t="s">
        <v>170</v>
      </c>
      <c r="E20" s="417"/>
      <c r="F20" s="420"/>
      <c r="G20" s="420"/>
      <c r="H20" s="420"/>
      <c r="I20" s="43"/>
      <c r="J20" s="428"/>
      <c r="K20" s="429"/>
      <c r="L20" s="422" t="str">
        <f aca="false">INDEX(PT_DIFFERENTIATION_NUM_TER,MATCH(B19,PT_DIFFERENTIATION_TER_ID,0))</f>
        <v>.</v>
      </c>
      <c r="M20" s="430" t="s">
        <v>394</v>
      </c>
      <c r="N20" s="424"/>
      <c r="O20" s="1245" t="str">
        <f aca="false">INDEX(PT_DIFFERENTIATION_TER,MATCH(B19,PT_DIFFERENTIATION_TER_ID,0))</f>
        <v/>
      </c>
      <c r="P20" s="1245"/>
      <c r="Q20" s="1245"/>
      <c r="R20" s="1245"/>
      <c r="S20" s="1245"/>
      <c r="T20" s="1245"/>
      <c r="U20" s="1245"/>
      <c r="V20" s="1245"/>
      <c r="W20" s="1245"/>
      <c r="X20" s="427" t="s">
        <v>395</v>
      </c>
      <c r="Z20" s="122"/>
      <c r="AA20" s="122" t="str">
        <f aca="false">IF(M20="","",M20)</f>
        <v>Территория действия тарифа</v>
      </c>
      <c r="AB20" s="122"/>
      <c r="AC20" s="122"/>
      <c r="AD20" s="42" t="n">
        <v>20</v>
      </c>
    </row>
    <row r="21" customFormat="false" ht="24" hidden="false" customHeight="true" outlineLevel="0" collapsed="false">
      <c r="A21" s="417" t="s">
        <v>167</v>
      </c>
      <c r="B21" s="417" t="s">
        <v>168</v>
      </c>
      <c r="C21" s="417" t="s">
        <v>169</v>
      </c>
      <c r="D21" s="417" t="s">
        <v>170</v>
      </c>
      <c r="E21" s="417"/>
      <c r="F21" s="420"/>
      <c r="G21" s="420"/>
      <c r="H21" s="420"/>
      <c r="I21" s="431"/>
      <c r="J21" s="428"/>
      <c r="K21" s="429"/>
      <c r="L21" s="422" t="str">
        <f aca="false">INDEX(PT_DIFFERENTIATION_NUM_CS,MATCH(C19,PT_DIFFERENTIATION_CS_ID,0))</f>
        <v>..</v>
      </c>
      <c r="M21" s="432" t="s">
        <v>396</v>
      </c>
      <c r="N21" s="424"/>
      <c r="O21" s="1245" t="str">
        <f aca="false">INDEX(PT_DIFFERENTIATION_CS,MATCH(C19,PT_DIFFERENTIATION_CS_ID,0))</f>
        <v/>
      </c>
      <c r="P21" s="1245"/>
      <c r="Q21" s="1245"/>
      <c r="R21" s="1245"/>
      <c r="S21" s="1245"/>
      <c r="T21" s="1245"/>
      <c r="U21" s="1245"/>
      <c r="V21" s="1245"/>
      <c r="W21" s="1245"/>
      <c r="X21" s="427" t="s">
        <v>397</v>
      </c>
      <c r="Z21" s="122"/>
      <c r="AA21" s="122" t="str">
        <f aca="false">IF(M21="","",M21)</f>
        <v>Наименование системы теплоснабжения </v>
      </c>
      <c r="AB21" s="122"/>
      <c r="AC21" s="122"/>
      <c r="AD21" s="42" t="n">
        <v>23</v>
      </c>
    </row>
    <row r="22" customFormat="false" ht="21" hidden="false" customHeight="true" outlineLevel="0" collapsed="false">
      <c r="A22" s="417" t="s">
        <v>167</v>
      </c>
      <c r="B22" s="417" t="s">
        <v>168</v>
      </c>
      <c r="C22" s="417" t="s">
        <v>169</v>
      </c>
      <c r="D22" s="417" t="s">
        <v>170</v>
      </c>
      <c r="E22" s="417"/>
      <c r="F22" s="420"/>
      <c r="G22" s="420"/>
      <c r="H22" s="420"/>
      <c r="I22" s="431"/>
      <c r="J22" s="428"/>
      <c r="K22" s="429"/>
      <c r="L22" s="422" t="str">
        <f aca="false">INDEX(PT_DIFFERENTIATION_NUM_IST_TE,MATCH(D19,PT_DIFFERENTIATION_IST_TE_ID,0))</f>
        <v>...</v>
      </c>
      <c r="M22" s="433" t="s">
        <v>398</v>
      </c>
      <c r="N22" s="424"/>
      <c r="O22" s="1245" t="str">
        <f aca="false">INDEX(PT_DIFFERENTIATION_IST_TE,MATCH(D19,PT_DIFFERENTIATION_IST_TE_ID,0))</f>
        <v/>
      </c>
      <c r="P22" s="1245"/>
      <c r="Q22" s="1245"/>
      <c r="R22" s="1245"/>
      <c r="S22" s="1245"/>
      <c r="T22" s="1245"/>
      <c r="U22" s="1245"/>
      <c r="V22" s="1245"/>
      <c r="W22" s="1245"/>
      <c r="X22" s="427" t="s">
        <v>399</v>
      </c>
      <c r="Z22" s="122"/>
      <c r="AA22" s="122" t="str">
        <f aca="false">IF(M22="","",M22)</f>
        <v>Источник тепловой энергии  </v>
      </c>
      <c r="AB22" s="122"/>
      <c r="AC22" s="122"/>
      <c r="AD22" s="42" t="n">
        <v>20</v>
      </c>
    </row>
    <row r="23" customFormat="false" ht="96.75" hidden="false" customHeight="true" outlineLevel="0" collapsed="false">
      <c r="A23" s="417" t="s">
        <v>167</v>
      </c>
      <c r="B23" s="417" t="s">
        <v>168</v>
      </c>
      <c r="C23" s="417" t="s">
        <v>169</v>
      </c>
      <c r="D23" s="417" t="s">
        <v>170</v>
      </c>
      <c r="E23" s="417"/>
      <c r="F23" s="1246" t="str">
        <f aca="false">L22&amp;".1"</f>
        <v>....1</v>
      </c>
      <c r="I23" s="125" t="n">
        <v>1</v>
      </c>
      <c r="J23" s="125"/>
      <c r="K23" s="435"/>
      <c r="L23" s="422" t="str">
        <f aca="false">$F$23</f>
        <v>....1</v>
      </c>
      <c r="M23" s="436" t="s">
        <v>401</v>
      </c>
      <c r="N23" s="424"/>
      <c r="O23" s="437"/>
      <c r="P23" s="437"/>
      <c r="Q23" s="437"/>
      <c r="R23" s="437"/>
      <c r="S23" s="437"/>
      <c r="T23" s="437"/>
      <c r="U23" s="437"/>
      <c r="V23" s="437"/>
      <c r="W23" s="437"/>
      <c r="X23" s="427" t="s">
        <v>402</v>
      </c>
      <c r="Z23" s="122"/>
      <c r="AA23" s="122" t="str">
        <f aca="false">IF(M23="","",M23)</f>
        <v>Схема подключения теплопотребляющей установки к коллектору источника тепловой энергии</v>
      </c>
      <c r="AB23" s="122"/>
      <c r="AC23" s="122"/>
      <c r="AD23" s="42" t="n">
        <v>92</v>
      </c>
    </row>
    <row r="24" customFormat="false" ht="86.25" hidden="false" customHeight="true" outlineLevel="0" collapsed="false">
      <c r="A24" s="417" t="s">
        <v>167</v>
      </c>
      <c r="B24" s="417" t="s">
        <v>168</v>
      </c>
      <c r="C24" s="417" t="s">
        <v>169</v>
      </c>
      <c r="D24" s="417" t="s">
        <v>170</v>
      </c>
      <c r="E24" s="417"/>
      <c r="F24" s="1246"/>
      <c r="G24" s="1246" t="str">
        <f aca="false">F23&amp;".1"</f>
        <v>....1.1</v>
      </c>
      <c r="I24" s="125"/>
      <c r="J24" s="125" t="n">
        <v>1</v>
      </c>
      <c r="K24" s="438"/>
      <c r="L24" s="422" t="str">
        <f aca="false">$G$24</f>
        <v>....1.1</v>
      </c>
      <c r="M24" s="439" t="s">
        <v>404</v>
      </c>
      <c r="N24" s="424"/>
      <c r="O24" s="437"/>
      <c r="P24" s="437"/>
      <c r="Q24" s="437"/>
      <c r="R24" s="437"/>
      <c r="S24" s="437"/>
      <c r="T24" s="437"/>
      <c r="U24" s="437"/>
      <c r="V24" s="437"/>
      <c r="W24" s="437"/>
      <c r="X24" s="427" t="s">
        <v>405</v>
      </c>
      <c r="Z24" s="122"/>
      <c r="AA24" s="122" t="str">
        <f aca="false">IF(M24="","",M24)</f>
        <v>Группа потребителей</v>
      </c>
      <c r="AB24" s="122"/>
      <c r="AC24" s="122"/>
      <c r="AD24" s="42" t="n">
        <v>82</v>
      </c>
    </row>
    <row r="25" customFormat="false" ht="11.25" hidden="false" customHeight="true" outlineLevel="0" collapsed="false">
      <c r="A25" s="417" t="s">
        <v>167</v>
      </c>
      <c r="B25" s="417" t="s">
        <v>168</v>
      </c>
      <c r="C25" s="417" t="s">
        <v>169</v>
      </c>
      <c r="D25" s="417" t="s">
        <v>170</v>
      </c>
      <c r="E25" s="417"/>
      <c r="F25" s="1246"/>
      <c r="G25" s="1246"/>
      <c r="H25" s="1246" t="str">
        <f aca="false">G24&amp;".1"</f>
        <v>....1.1.1</v>
      </c>
      <c r="I25" s="125"/>
      <c r="J25" s="125"/>
      <c r="K25" s="438" t="n">
        <v>1</v>
      </c>
      <c r="L25" s="422" t="str">
        <f aca="false">$H$25</f>
        <v>....1.1.1</v>
      </c>
      <c r="M25" s="440"/>
      <c r="N25" s="424"/>
      <c r="O25" s="441"/>
      <c r="P25" s="442"/>
      <c r="Q25" s="441"/>
      <c r="R25" s="443"/>
      <c r="S25" s="444"/>
      <c r="T25" s="206" t="s">
        <v>64</v>
      </c>
      <c r="U25" s="444"/>
      <c r="V25" s="206" t="s">
        <v>19</v>
      </c>
      <c r="W25" s="442"/>
      <c r="X25" s="445" t="s">
        <v>407</v>
      </c>
      <c r="Y25" s="49" t="e">
        <f aca="false">strcheckdate(O26:W26)</f>
        <v>#NAME?</v>
      </c>
      <c r="Z25" s="122"/>
      <c r="AA25" s="122" t="str">
        <f aca="false">IF(M25="","",M25)</f>
        <v/>
      </c>
      <c r="AB25" s="122"/>
      <c r="AC25" s="122"/>
      <c r="AD25" s="42" t="n">
        <v>11</v>
      </c>
    </row>
    <row r="26" customFormat="false" ht="11.25" hidden="false" customHeight="true" outlineLevel="0" collapsed="false">
      <c r="A26" s="417" t="s">
        <v>167</v>
      </c>
      <c r="B26" s="417" t="s">
        <v>168</v>
      </c>
      <c r="C26" s="417" t="s">
        <v>169</v>
      </c>
      <c r="D26" s="417" t="s">
        <v>170</v>
      </c>
      <c r="E26" s="417"/>
      <c r="F26" s="1246"/>
      <c r="G26" s="1246"/>
      <c r="H26" s="1246"/>
      <c r="I26" s="125"/>
      <c r="J26" s="125"/>
      <c r="K26" s="438"/>
      <c r="L26" s="397"/>
      <c r="M26" s="424"/>
      <c r="N26" s="424"/>
      <c r="O26" s="442"/>
      <c r="P26" s="442"/>
      <c r="Q26" s="442"/>
      <c r="R26" s="446" t="str">
        <f aca="false">S25&amp;"-"&amp;U25</f>
        <v>-</v>
      </c>
      <c r="S26" s="444"/>
      <c r="T26" s="206"/>
      <c r="U26" s="444"/>
      <c r="V26" s="206"/>
      <c r="W26" s="442"/>
      <c r="X26" s="445"/>
      <c r="Z26" s="122"/>
      <c r="AA26" s="122" t="str">
        <f aca="false">IF(M26="","",M26)</f>
        <v/>
      </c>
      <c r="AB26" s="122"/>
      <c r="AC26" s="122"/>
      <c r="AD26" s="42" t="n">
        <v>11</v>
      </c>
    </row>
    <row r="27" customFormat="false" ht="15.75" hidden="false" customHeight="true" outlineLevel="0" collapsed="false">
      <c r="A27" s="417" t="s">
        <v>167</v>
      </c>
      <c r="B27" s="417" t="s">
        <v>168</v>
      </c>
      <c r="C27" s="417" t="s">
        <v>169</v>
      </c>
      <c r="D27" s="417" t="s">
        <v>170</v>
      </c>
      <c r="E27" s="417"/>
      <c r="F27" s="1246"/>
      <c r="G27" s="1246"/>
      <c r="I27" s="125"/>
      <c r="J27" s="125"/>
      <c r="K27" s="435"/>
      <c r="L27" s="447"/>
      <c r="M27" s="448" t="s">
        <v>408</v>
      </c>
      <c r="N27" s="196"/>
      <c r="O27" s="196"/>
      <c r="P27" s="196"/>
      <c r="Q27" s="196"/>
      <c r="R27" s="196"/>
      <c r="S27" s="196"/>
      <c r="T27" s="196"/>
      <c r="U27" s="196"/>
      <c r="V27" s="196"/>
      <c r="W27" s="449"/>
      <c r="X27" s="445"/>
      <c r="Z27" s="122"/>
      <c r="AA27" s="122" t="str">
        <f aca="false">IF(M27="","",M27)</f>
        <v>Добавить вид теплоносителя (параметры теплоносителя)</v>
      </c>
      <c r="AB27" s="122"/>
      <c r="AC27" s="122"/>
      <c r="AD27" s="42" t="n">
        <v>15</v>
      </c>
    </row>
    <row r="28" customFormat="false" ht="15.75" hidden="false" customHeight="true" outlineLevel="0" collapsed="false">
      <c r="A28" s="417" t="s">
        <v>167</v>
      </c>
      <c r="B28" s="417" t="s">
        <v>168</v>
      </c>
      <c r="C28" s="417" t="s">
        <v>169</v>
      </c>
      <c r="D28" s="417" t="s">
        <v>170</v>
      </c>
      <c r="E28" s="417"/>
      <c r="F28" s="1246"/>
      <c r="I28" s="125"/>
      <c r="J28" s="125"/>
      <c r="K28" s="435"/>
      <c r="L28" s="447"/>
      <c r="M28" s="450" t="s">
        <v>409</v>
      </c>
      <c r="N28" s="196"/>
      <c r="O28" s="196"/>
      <c r="P28" s="196"/>
      <c r="Q28" s="196"/>
      <c r="R28" s="196"/>
      <c r="S28" s="196"/>
      <c r="T28" s="196"/>
      <c r="U28" s="196"/>
      <c r="V28" s="451"/>
      <c r="W28" s="196"/>
      <c r="X28" s="452"/>
      <c r="Z28" s="122"/>
      <c r="AA28" s="122" t="str">
        <f aca="false">IF(M28="","",M28)</f>
        <v>Добавить группу потребителей</v>
      </c>
      <c r="AB28" s="122"/>
      <c r="AC28" s="122"/>
      <c r="AD28" s="42" t="n">
        <v>15</v>
      </c>
    </row>
    <row r="29" customFormat="false" ht="14.25" hidden="false" customHeight="true" outlineLevel="0" collapsed="false">
      <c r="A29" s="417" t="s">
        <v>167</v>
      </c>
      <c r="B29" s="417" t="s">
        <v>168</v>
      </c>
      <c r="C29" s="417" t="s">
        <v>169</v>
      </c>
      <c r="D29" s="417" t="s">
        <v>170</v>
      </c>
      <c r="E29" s="417"/>
      <c r="F29" s="420"/>
      <c r="G29" s="420"/>
      <c r="H29" s="45"/>
      <c r="I29" s="136"/>
      <c r="J29" s="453"/>
      <c r="K29" s="421"/>
      <c r="L29" s="447"/>
      <c r="M29" s="454" t="s">
        <v>410</v>
      </c>
      <c r="N29" s="196"/>
      <c r="O29" s="196"/>
      <c r="P29" s="196"/>
      <c r="Q29" s="196"/>
      <c r="R29" s="196"/>
      <c r="S29" s="196"/>
      <c r="T29" s="196"/>
      <c r="U29" s="196"/>
      <c r="V29" s="451"/>
      <c r="W29" s="196"/>
      <c r="X29" s="452"/>
      <c r="Z29" s="122"/>
      <c r="AA29" s="122" t="str">
        <f aca="false">IF(M29="","",M29)</f>
        <v>Добавить схему подключения</v>
      </c>
      <c r="AB29" s="122"/>
      <c r="AC29" s="122"/>
      <c r="AD29" s="42" t="n">
        <v>14</v>
      </c>
    </row>
    <row r="30" customFormat="false" ht="14.25" hidden="false" customHeight="true" outlineLevel="0" collapsed="false">
      <c r="A30" s="417" t="s">
        <v>167</v>
      </c>
      <c r="B30" s="417" t="s">
        <v>168</v>
      </c>
      <c r="C30" s="417" t="s">
        <v>169</v>
      </c>
      <c r="D30" s="417"/>
      <c r="E30" s="417" t="s">
        <v>583</v>
      </c>
      <c r="F30" s="420"/>
      <c r="G30" s="420"/>
      <c r="H30" s="45"/>
      <c r="I30" s="136"/>
      <c r="J30" s="453"/>
      <c r="K30" s="421"/>
      <c r="L30" s="1247"/>
      <c r="M30" s="1248"/>
      <c r="N30" s="1249"/>
      <c r="O30" s="1249"/>
      <c r="P30" s="1249"/>
      <c r="Q30" s="1249"/>
      <c r="R30" s="1249"/>
      <c r="S30" s="1249"/>
      <c r="T30" s="1249"/>
      <c r="U30" s="1249"/>
      <c r="V30" s="1250"/>
      <c r="W30" s="1249"/>
      <c r="X30" s="1251"/>
      <c r="Z30" s="122"/>
      <c r="AA30" s="122" t="str">
        <f aca="false">IF(M30="","",M30)</f>
        <v/>
      </c>
      <c r="AB30" s="122"/>
      <c r="AC30" s="122"/>
      <c r="AD30" s="42" t="n">
        <v>14</v>
      </c>
    </row>
    <row r="31" customFormat="false" ht="14.25" hidden="false" customHeight="true" outlineLevel="0" collapsed="false">
      <c r="A31" s="417" t="s">
        <v>167</v>
      </c>
      <c r="B31" s="417" t="s">
        <v>168</v>
      </c>
      <c r="C31" s="417"/>
      <c r="D31" s="417"/>
      <c r="E31" s="417" t="s">
        <v>2225</v>
      </c>
      <c r="F31" s="567"/>
      <c r="G31" s="567"/>
      <c r="H31" s="45"/>
      <c r="I31" s="250"/>
      <c r="J31" s="453"/>
      <c r="K31" s="1155"/>
      <c r="L31" s="1247"/>
      <c r="M31" s="1252"/>
      <c r="N31" s="1249"/>
      <c r="O31" s="1249"/>
      <c r="P31" s="1249"/>
      <c r="Q31" s="1249"/>
      <c r="R31" s="1249"/>
      <c r="S31" s="1249"/>
      <c r="T31" s="1249"/>
      <c r="U31" s="1249"/>
      <c r="V31" s="1250"/>
      <c r="W31" s="1249"/>
      <c r="X31" s="1251"/>
      <c r="Z31" s="122"/>
      <c r="AA31" s="122" t="str">
        <f aca="false">IF(M31="","",M31)</f>
        <v/>
      </c>
      <c r="AB31" s="122"/>
      <c r="AC31" s="122"/>
      <c r="AD31" s="42" t="n">
        <v>14</v>
      </c>
    </row>
    <row r="32" customFormat="false" ht="14.25" hidden="false" customHeight="true" outlineLevel="0" collapsed="false">
      <c r="A32" s="417" t="s">
        <v>2226</v>
      </c>
      <c r="B32" s="417"/>
      <c r="C32" s="417"/>
      <c r="D32" s="417"/>
      <c r="E32" s="417" t="s">
        <v>102</v>
      </c>
      <c r="F32" s="567"/>
      <c r="G32" s="567"/>
      <c r="H32" s="45"/>
      <c r="I32" s="136"/>
      <c r="J32" s="453"/>
      <c r="K32" s="421"/>
      <c r="L32" s="1247"/>
      <c r="M32" s="1253"/>
      <c r="N32" s="1249"/>
      <c r="O32" s="1249"/>
      <c r="P32" s="1249"/>
      <c r="Q32" s="1249"/>
      <c r="R32" s="1249"/>
      <c r="S32" s="1249"/>
      <c r="T32" s="1249"/>
      <c r="U32" s="1249"/>
      <c r="V32" s="1250"/>
      <c r="W32" s="1249"/>
      <c r="X32" s="1251"/>
      <c r="Z32" s="122"/>
      <c r="AA32" s="122" t="str">
        <f aca="false">IF(M32="","",M32)</f>
        <v/>
      </c>
      <c r="AB32" s="122"/>
      <c r="AC32" s="122"/>
      <c r="AD32" s="42" t="n">
        <v>14</v>
      </c>
    </row>
    <row r="33" s="55" customFormat="true" ht="11.25" hidden="false" customHeight="true" outlineLevel="0" collapsed="false">
      <c r="A33" s="417"/>
      <c r="B33" s="417"/>
      <c r="C33" s="417"/>
      <c r="D33" s="417"/>
      <c r="E33" s="417" t="s">
        <v>445</v>
      </c>
      <c r="F33" s="567"/>
      <c r="G33" s="1254"/>
      <c r="H33" s="45"/>
      <c r="L33" s="1255"/>
      <c r="M33" s="1256"/>
      <c r="N33" s="1249"/>
      <c r="O33" s="1249"/>
      <c r="P33" s="1249"/>
      <c r="Q33" s="1249"/>
      <c r="R33" s="1249"/>
      <c r="S33" s="1249"/>
      <c r="T33" s="1249"/>
      <c r="U33" s="1249"/>
      <c r="V33" s="1250"/>
      <c r="W33" s="1249"/>
      <c r="X33" s="1251"/>
      <c r="Y33" s="160"/>
      <c r="Z33" s="160"/>
      <c r="AA33" s="160"/>
      <c r="AB33" s="160"/>
      <c r="AC33" s="160"/>
      <c r="AD33" s="55" t="n">
        <v>11</v>
      </c>
    </row>
    <row r="34" customFormat="false" ht="11.25" hidden="false" customHeight="true" outlineLevel="0" collapsed="false">
      <c r="F34" s="45"/>
      <c r="G34" s="45"/>
      <c r="H34" s="45"/>
      <c r="I34" s="42"/>
      <c r="J34" s="42"/>
      <c r="K34" s="42"/>
      <c r="Y34" s="42"/>
      <c r="Z34" s="42"/>
      <c r="AA34" s="42"/>
      <c r="AB34" s="42"/>
      <c r="AC34" s="42"/>
      <c r="AD34" s="42" t="n">
        <v>11</v>
      </c>
    </row>
    <row r="35" customFormat="false" ht="28.5" hidden="false" customHeight="true" outlineLevel="0" collapsed="false">
      <c r="H35" s="45"/>
      <c r="L35" s="495" t="s">
        <v>801</v>
      </c>
      <c r="M35" s="1257" t="s">
        <v>2227</v>
      </c>
      <c r="N35" s="1257"/>
      <c r="O35" s="1257"/>
      <c r="P35" s="1257"/>
      <c r="Q35" s="1257"/>
      <c r="R35" s="1257"/>
      <c r="S35" s="1257"/>
      <c r="T35" s="1257"/>
      <c r="U35" s="1257"/>
      <c r="V35" s="1257"/>
      <c r="W35" s="1257"/>
      <c r="X35" s="1257"/>
      <c r="AD35" s="42" t="n">
        <v>27</v>
      </c>
    </row>
    <row r="36" customFormat="false" ht="108.75" hidden="false" customHeight="true" outlineLevel="0" collapsed="false">
      <c r="H36" s="45"/>
      <c r="M36" s="495" t="s">
        <v>2228</v>
      </c>
      <c r="N36" s="495"/>
      <c r="O36" s="495"/>
      <c r="P36" s="495"/>
      <c r="Q36" s="495"/>
      <c r="R36" s="495"/>
      <c r="S36" s="495"/>
      <c r="T36" s="495"/>
      <c r="U36" s="495"/>
      <c r="V36" s="495"/>
      <c r="W36" s="495"/>
      <c r="X36" s="495"/>
      <c r="AD36" s="42" t="n">
        <v>104</v>
      </c>
    </row>
    <row r="37" customFormat="false" ht="14.25" hidden="false" customHeight="true" outlineLevel="0" collapsed="false">
      <c r="H37" s="45"/>
      <c r="AD37" s="42" t="n">
        <v>14</v>
      </c>
    </row>
    <row r="38" customFormat="false" ht="14.25" hidden="false" customHeight="true" outlineLevel="0" collapsed="false">
      <c r="H38" s="45"/>
      <c r="AD38" s="42" t="n">
        <v>14</v>
      </c>
    </row>
    <row r="39" customFormat="false" ht="14.25" hidden="false" customHeight="true" outlineLevel="0" collapsed="false">
      <c r="H39" s="45"/>
      <c r="AD39" s="42" t="n">
        <v>14</v>
      </c>
    </row>
    <row r="40" customFormat="false" ht="14.25" hidden="false" customHeight="true" outlineLevel="0" collapsed="false">
      <c r="H40" s="45"/>
      <c r="AD40" s="42" t="n">
        <v>14</v>
      </c>
    </row>
    <row r="41" customFormat="false" ht="22.5" hidden="true" customHeight="true" outlineLevel="0" collapsed="false">
      <c r="A41" s="45" t="s">
        <v>80</v>
      </c>
      <c r="B41" s="45" t="n">
        <v>0</v>
      </c>
      <c r="C41" s="45" t="n">
        <v>0</v>
      </c>
      <c r="D41" s="45" t="n">
        <v>0</v>
      </c>
      <c r="E41" s="45" t="n">
        <v>0</v>
      </c>
      <c r="F41" s="53" t="n">
        <v>0</v>
      </c>
      <c r="G41" s="53" t="n">
        <v>0</v>
      </c>
      <c r="H41" s="53" t="n">
        <v>0</v>
      </c>
      <c r="I41" s="52" t="n">
        <v>3</v>
      </c>
      <c r="J41" s="416" t="n">
        <v>3</v>
      </c>
      <c r="K41" s="416" t="n">
        <v>3</v>
      </c>
      <c r="L41" s="77" t="n">
        <v>12</v>
      </c>
      <c r="M41" s="42" t="n">
        <v>31</v>
      </c>
      <c r="N41" s="42" t="n">
        <v>1</v>
      </c>
      <c r="O41" s="42" t="n">
        <v>24</v>
      </c>
      <c r="P41" s="42" t="n">
        <v>24</v>
      </c>
      <c r="Q41" s="42" t="n">
        <v>24</v>
      </c>
      <c r="R41" s="42" t="n">
        <v>24</v>
      </c>
      <c r="S41" s="42" t="n">
        <v>11</v>
      </c>
      <c r="T41" s="42" t="n">
        <v>3</v>
      </c>
      <c r="U41" s="42" t="n">
        <v>11</v>
      </c>
      <c r="V41" s="42" t="n">
        <v>8</v>
      </c>
      <c r="W41" s="42" t="n">
        <v>4</v>
      </c>
      <c r="X41" s="42" t="n">
        <v>115</v>
      </c>
      <c r="Y41" s="49" t="n">
        <v>10</v>
      </c>
      <c r="Z41" s="49" t="n">
        <v>10</v>
      </c>
      <c r="AA41" s="49" t="n">
        <v>10</v>
      </c>
      <c r="AB41" s="49" t="n">
        <v>10</v>
      </c>
      <c r="AC41" s="49" t="n">
        <v>10</v>
      </c>
      <c r="AD41" s="42" t="n">
        <v>23</v>
      </c>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J6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282" width="15"/>
    <col collapsed="false" customWidth="true" hidden="true" outlineLevel="0" max="2" min="2" style="283" width="15"/>
    <col collapsed="false" customWidth="true" hidden="false" outlineLevel="0" max="3" min="3" style="284" width="3"/>
    <col collapsed="false" customWidth="true" hidden="false" outlineLevel="0" max="4" min="4" style="285" width="6"/>
    <col collapsed="false" customWidth="true" hidden="false" outlineLevel="0" max="5" min="5" style="284" width="52"/>
    <col collapsed="false" customWidth="true" hidden="false" outlineLevel="0" max="6" min="6" style="284" width="48"/>
    <col collapsed="false" customWidth="true" hidden="false" outlineLevel="0" max="7" min="7" style="284" width="121"/>
    <col collapsed="false" customWidth="true" hidden="false" outlineLevel="0" max="8" min="8" style="284" width="8"/>
    <col collapsed="false" customWidth="true" hidden="false" outlineLevel="0" max="9" min="9" style="284" width="64"/>
    <col collapsed="false" customWidth="false" hidden="true" outlineLevel="0" max="10" min="10" style="284" width="9.15"/>
  </cols>
  <sheetData>
    <row r="1" customFormat="false" ht="11.25" hidden="true" customHeight="true" outlineLevel="0" collapsed="false">
      <c r="A1" s="282" t="s">
        <v>296</v>
      </c>
      <c r="J1" s="284" t="s">
        <v>14</v>
      </c>
    </row>
    <row r="2" customFormat="false" ht="11.25" hidden="true" customHeight="true" outlineLevel="0" collapsed="false">
      <c r="J2" s="284" t="n">
        <v>0</v>
      </c>
    </row>
    <row r="3" s="286" customFormat="true" ht="11.25" hidden="false" customHeight="true" outlineLevel="0" collapsed="false">
      <c r="A3" s="282"/>
      <c r="B3" s="283"/>
      <c r="D3" s="287"/>
      <c r="J3" s="286" t="n">
        <v>11</v>
      </c>
    </row>
    <row r="4" customFormat="false" ht="27" hidden="false" customHeight="true" outlineLevel="0" collapsed="false">
      <c r="D4" s="215" t="str">
        <f aca="false">ORG_INFO_NAME_FORM</f>
        <v>Форма 1. Информация об организации, осуществляющей водоотведение (общая информация)</v>
      </c>
      <c r="E4" s="215"/>
      <c r="F4" s="215"/>
      <c r="I4" s="288"/>
      <c r="J4" s="284" t="n">
        <v>26</v>
      </c>
    </row>
    <row r="5" customFormat="false" ht="18" hidden="false" customHeight="true" outlineLevel="0" collapsed="false">
      <c r="D5" s="259" t="str">
        <f aca="false">IF(org=0,"Не определено",org)</f>
        <v>Филиал ПАО "ОГК-2" - Серовская ГРЭС, г. Серов</v>
      </c>
      <c r="E5" s="259"/>
      <c r="F5" s="259"/>
      <c r="I5" s="288"/>
      <c r="J5" s="284" t="n">
        <v>17</v>
      </c>
    </row>
    <row r="6" s="286" customFormat="true" ht="11.25" hidden="false" customHeight="true" outlineLevel="0" collapsed="false">
      <c r="A6" s="282"/>
      <c r="B6" s="283"/>
      <c r="D6" s="289"/>
      <c r="E6" s="289"/>
      <c r="F6" s="290"/>
      <c r="G6" s="289"/>
      <c r="J6" s="286" t="n">
        <v>11</v>
      </c>
    </row>
    <row r="7" customFormat="false" ht="11.25" hidden="true" customHeight="true" outlineLevel="0" collapsed="false">
      <c r="A7" s="83"/>
      <c r="B7" s="291"/>
      <c r="C7" s="83"/>
      <c r="D7" s="74"/>
      <c r="E7" s="292"/>
      <c r="F7" s="292"/>
      <c r="J7" s="284" t="n">
        <v>0</v>
      </c>
    </row>
    <row r="8" customFormat="false" ht="11.25" hidden="false" customHeight="true" outlineLevel="0" collapsed="false">
      <c r="A8" s="83"/>
      <c r="B8" s="291"/>
      <c r="C8" s="83"/>
      <c r="D8" s="293" t="s">
        <v>297</v>
      </c>
      <c r="E8" s="293"/>
      <c r="F8" s="293"/>
      <c r="G8" s="294" t="s">
        <v>298</v>
      </c>
      <c r="J8" s="284" t="n">
        <v>11</v>
      </c>
    </row>
    <row r="9" customFormat="false" ht="11.25" hidden="false" customHeight="true" outlineLevel="0" collapsed="false">
      <c r="A9" s="83"/>
      <c r="B9" s="291"/>
      <c r="C9" s="83"/>
      <c r="D9" s="295" t="s">
        <v>86</v>
      </c>
      <c r="E9" s="294" t="s">
        <v>299</v>
      </c>
      <c r="F9" s="294" t="s">
        <v>300</v>
      </c>
      <c r="G9" s="294"/>
      <c r="J9" s="284" t="n">
        <v>11</v>
      </c>
    </row>
    <row r="10" customFormat="false" ht="12" hidden="true" customHeight="true" outlineLevel="0" collapsed="false">
      <c r="A10" s="83"/>
      <c r="B10" s="291"/>
      <c r="C10" s="83"/>
      <c r="D10" s="296"/>
      <c r="E10" s="296"/>
      <c r="F10" s="296"/>
      <c r="G10" s="296"/>
      <c r="J10" s="284" t="n">
        <v>0</v>
      </c>
    </row>
    <row r="11" customFormat="false" ht="22.5" hidden="true" customHeight="true" outlineLevel="0" collapsed="false">
      <c r="A11" s="83"/>
      <c r="B11" s="291"/>
      <c r="C11" s="83"/>
      <c r="D11" s="297" t="s">
        <v>107</v>
      </c>
      <c r="E11" s="298" t="s">
        <v>301</v>
      </c>
      <c r="F11" s="299" t="str">
        <f aca="false">IF(region_name="","",region_name)</f>
        <v>Свердловская область</v>
      </c>
      <c r="G11" s="298" t="s">
        <v>302</v>
      </c>
      <c r="H11" s="300"/>
      <c r="J11" s="284" t="n">
        <v>0</v>
      </c>
    </row>
    <row r="12" customFormat="false" ht="22.5" hidden="true" customHeight="true" outlineLevel="0" collapsed="false">
      <c r="A12" s="83"/>
      <c r="B12" s="291"/>
      <c r="C12" s="83"/>
      <c r="D12" s="301" t="s">
        <v>107</v>
      </c>
      <c r="E12" s="302" t="str">
        <f aca="false">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20" t="s">
        <v>303</v>
      </c>
      <c r="G12" s="303"/>
      <c r="H12" s="300"/>
      <c r="J12" s="284" t="n">
        <v>0</v>
      </c>
    </row>
    <row r="13" customFormat="false" ht="23.25" hidden="false" customHeight="true" outlineLevel="0" collapsed="false">
      <c r="A13" s="83"/>
      <c r="B13" s="291"/>
      <c r="C13" s="83"/>
      <c r="D13" s="301" t="s">
        <v>107</v>
      </c>
      <c r="E13" s="304" t="str">
        <f aca="false">"Наименование юридического лица"&amp;IF(TEMPLATE_SPHERE="TKO"," (индивидуального предпринимателя)","")</f>
        <v>Наименование юридического лица</v>
      </c>
      <c r="F13" s="305"/>
      <c r="G13" s="302" t="str">
        <f aca="false">"Наименование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00"/>
      <c r="J13" s="284" t="n">
        <v>22</v>
      </c>
    </row>
    <row r="14" customFormat="false" ht="22.5" hidden="true" customHeight="true" outlineLevel="0" collapsed="false">
      <c r="A14" s="83"/>
      <c r="B14" s="291"/>
      <c r="C14" s="83"/>
      <c r="D14" s="297" t="s">
        <v>304</v>
      </c>
      <c r="E14" s="306" t="s">
        <v>305</v>
      </c>
      <c r="F14" s="299" t="str">
        <f aca="false">IF(inn="","",inn)</f>
        <v>2607018122</v>
      </c>
      <c r="G14" s="298" t="s">
        <v>306</v>
      </c>
      <c r="H14" s="300"/>
      <c r="J14" s="284" t="n">
        <v>0</v>
      </c>
    </row>
    <row r="15" customFormat="false" ht="22.5" hidden="true" customHeight="true" outlineLevel="0" collapsed="false">
      <c r="A15" s="83"/>
      <c r="B15" s="291"/>
      <c r="C15" s="83"/>
      <c r="D15" s="297" t="s">
        <v>307</v>
      </c>
      <c r="E15" s="306" t="s">
        <v>308</v>
      </c>
      <c r="F15" s="299" t="str">
        <f aca="false">IF(kpp="","",kpp)</f>
        <v>663202001</v>
      </c>
      <c r="G15" s="298" t="s">
        <v>309</v>
      </c>
      <c r="H15" s="300"/>
      <c r="J15" s="284" t="n">
        <v>0</v>
      </c>
    </row>
    <row r="16" customFormat="false" ht="39" hidden="false" customHeight="true" outlineLevel="0" collapsed="false">
      <c r="A16" s="83"/>
      <c r="B16" s="291"/>
      <c r="C16" s="83"/>
      <c r="D16" s="301" t="s">
        <v>108</v>
      </c>
      <c r="E16" s="304" t="str">
        <f aca="false">"Основной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05"/>
      <c r="G16" s="302" t="str">
        <f aca="false">"Указывается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00"/>
      <c r="J16" s="284" t="n">
        <v>37</v>
      </c>
    </row>
    <row r="17" customFormat="false" ht="23.25" hidden="false" customHeight="true" outlineLevel="0" collapsed="false">
      <c r="A17" s="83"/>
      <c r="B17" s="291"/>
      <c r="C17" s="83"/>
      <c r="D17" s="301" t="s">
        <v>88</v>
      </c>
      <c r="E17" s="304" t="str">
        <f aca="false">"Дата присвоения ОГРН"&amp;IF(TEMPLATE_SPHERE="TKO",""," (ОГРНИП)")</f>
        <v>Дата присвоения ОГРН (ОГРНИП)</v>
      </c>
      <c r="F17" s="81"/>
      <c r="G17" s="302" t="str">
        <f aca="false">"Дата присвоения ОГРН"&amp;IF(TEMPLATE_SPHERE="TKO",""," (ОГРНИП)")&amp;" указывается в виде «ДД.ММ.ГГГГ»."</f>
        <v>Дата присвоения ОГРН (ОГРНИП) указывается в виде «ДД.ММ.ГГГГ».</v>
      </c>
      <c r="H17" s="300"/>
      <c r="J17" s="284" t="n">
        <v>22</v>
      </c>
    </row>
    <row r="18" customFormat="false" ht="71.25" hidden="false" customHeight="true" outlineLevel="0" collapsed="false">
      <c r="A18" s="83"/>
      <c r="B18" s="291"/>
      <c r="C18" s="83"/>
      <c r="D18" s="301" t="s">
        <v>89</v>
      </c>
      <c r="E18" s="304" t="str">
        <f aca="false">"Наименование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05"/>
      <c r="G18" s="303"/>
      <c r="H18" s="300"/>
      <c r="J18" s="284" t="n">
        <v>68</v>
      </c>
    </row>
    <row r="19" customFormat="false" ht="22.5" hidden="true" customHeight="true" outlineLevel="0" collapsed="false">
      <c r="A19" s="307" t="s">
        <v>310</v>
      </c>
      <c r="B19" s="291"/>
      <c r="C19" s="308"/>
      <c r="D19" s="301" t="str">
        <f aca="false">A19</f>
        <v>5.1</v>
      </c>
      <c r="E19" s="304" t="s">
        <v>311</v>
      </c>
      <c r="F19" s="220" t="s">
        <v>303</v>
      </c>
      <c r="G19" s="302" t="s">
        <v>312</v>
      </c>
      <c r="H19" s="300"/>
      <c r="I19" s="309"/>
      <c r="J19" s="284" t="n">
        <v>0</v>
      </c>
    </row>
    <row r="20" customFormat="false" ht="24" hidden="true" customHeight="true" outlineLevel="0" collapsed="false">
      <c r="A20" s="307"/>
      <c r="B20" s="291"/>
      <c r="C20" s="308"/>
      <c r="D20" s="310" t="str">
        <f aca="false">D19&amp;".1"</f>
        <v>5.1.1</v>
      </c>
      <c r="E20" s="311" t="s">
        <v>313</v>
      </c>
      <c r="F20" s="312"/>
      <c r="G20" s="303"/>
      <c r="H20" s="300"/>
      <c r="I20" s="309"/>
      <c r="J20" s="284" t="n">
        <v>0</v>
      </c>
    </row>
    <row r="21" customFormat="false" ht="22.5" hidden="true" customHeight="true" outlineLevel="0" collapsed="false">
      <c r="A21" s="307"/>
      <c r="B21" s="291"/>
      <c r="C21" s="308"/>
      <c r="D21" s="310" t="str">
        <f aca="false">D19&amp;".2"</f>
        <v>5.1.2</v>
      </c>
      <c r="E21" s="311" t="s">
        <v>314</v>
      </c>
      <c r="F21" s="89"/>
      <c r="G21" s="302" t="s">
        <v>315</v>
      </c>
      <c r="H21" s="300"/>
      <c r="I21" s="309"/>
      <c r="J21" s="284" t="n">
        <v>0</v>
      </c>
    </row>
    <row r="22" customFormat="false" ht="22.5" hidden="true" customHeight="true" outlineLevel="0" collapsed="false">
      <c r="A22" s="307"/>
      <c r="B22" s="291"/>
      <c r="C22" s="308"/>
      <c r="D22" s="310" t="str">
        <f aca="false">D19&amp;".3"</f>
        <v>5.1.3</v>
      </c>
      <c r="E22" s="311" t="s">
        <v>316</v>
      </c>
      <c r="F22" s="312"/>
      <c r="G22" s="303"/>
      <c r="H22" s="300"/>
      <c r="I22" s="309"/>
      <c r="J22" s="284" t="n">
        <v>0</v>
      </c>
    </row>
    <row r="23" customFormat="false" ht="22.5" hidden="true" customHeight="true" outlineLevel="0" collapsed="false">
      <c r="A23" s="307"/>
      <c r="B23" s="291"/>
      <c r="C23" s="308"/>
      <c r="D23" s="310" t="str">
        <f aca="false">D19&amp;".4"</f>
        <v>5.1.4</v>
      </c>
      <c r="E23" s="311" t="s">
        <v>317</v>
      </c>
      <c r="F23" s="312"/>
      <c r="G23" s="302" t="s">
        <v>318</v>
      </c>
      <c r="H23" s="300"/>
      <c r="I23" s="309"/>
      <c r="J23" s="284" t="n">
        <v>0</v>
      </c>
    </row>
    <row r="24" customFormat="false" ht="22.5" hidden="true" customHeight="true" outlineLevel="0" collapsed="false">
      <c r="A24" s="313"/>
      <c r="B24" s="291"/>
      <c r="C24" s="314"/>
      <c r="D24" s="315"/>
      <c r="E24" s="165" t="s">
        <v>319</v>
      </c>
      <c r="F24" s="316"/>
      <c r="G24" s="317"/>
      <c r="H24" s="300"/>
      <c r="I24" s="309"/>
      <c r="J24" s="284" t="n">
        <v>0</v>
      </c>
    </row>
    <row r="25" s="283" customFormat="true" ht="24.75" hidden="true" customHeight="true" outlineLevel="0" collapsed="false">
      <c r="A25" s="83"/>
      <c r="B25" s="291"/>
      <c r="C25" s="291"/>
      <c r="D25" s="318" t="s">
        <v>88</v>
      </c>
      <c r="E25" s="319" t="s">
        <v>320</v>
      </c>
      <c r="F25" s="151" t="s">
        <v>303</v>
      </c>
      <c r="G25" s="319"/>
      <c r="J25" s="283" t="n">
        <v>0</v>
      </c>
    </row>
    <row r="26" s="283" customFormat="true" ht="11.25" hidden="true" customHeight="true" outlineLevel="0" collapsed="false">
      <c r="A26" s="83"/>
      <c r="B26" s="291"/>
      <c r="C26" s="291"/>
      <c r="D26" s="318" t="s">
        <v>321</v>
      </c>
      <c r="E26" s="320" t="s">
        <v>322</v>
      </c>
      <c r="F26" s="151" t="s">
        <v>303</v>
      </c>
      <c r="G26" s="319"/>
      <c r="J26" s="283" t="n">
        <v>0</v>
      </c>
    </row>
    <row r="27" s="283" customFormat="true" ht="11.25" hidden="true" customHeight="true" outlineLevel="0" collapsed="false">
      <c r="A27" s="83"/>
      <c r="B27" s="291"/>
      <c r="C27" s="291"/>
      <c r="D27" s="318" t="s">
        <v>323</v>
      </c>
      <c r="E27" s="321" t="s">
        <v>324</v>
      </c>
      <c r="F27" s="322"/>
      <c r="G27" s="319" t="str">
        <f aca="false">"Указывается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3" t="n">
        <v>0</v>
      </c>
    </row>
    <row r="28" s="283" customFormat="true" ht="11.25" hidden="true" customHeight="true" outlineLevel="0" collapsed="false">
      <c r="A28" s="83"/>
      <c r="B28" s="291"/>
      <c r="C28" s="291"/>
      <c r="D28" s="318" t="s">
        <v>325</v>
      </c>
      <c r="E28" s="321" t="s">
        <v>326</v>
      </c>
      <c r="F28" s="322"/>
      <c r="G28" s="319" t="str">
        <f aca="false">"Указывается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3" t="n">
        <v>0</v>
      </c>
    </row>
    <row r="29" s="283" customFormat="true" ht="11.25" hidden="true" customHeight="true" outlineLevel="0" collapsed="false">
      <c r="A29" s="83"/>
      <c r="B29" s="291"/>
      <c r="C29" s="291"/>
      <c r="D29" s="318" t="s">
        <v>327</v>
      </c>
      <c r="E29" s="321" t="s">
        <v>328</v>
      </c>
      <c r="F29" s="322"/>
      <c r="G29" s="319" t="str">
        <f aca="false">"Указывается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3" t="n">
        <v>0</v>
      </c>
    </row>
    <row r="30" s="283" customFormat="true" ht="11.25" hidden="true" customHeight="true" outlineLevel="0" collapsed="false">
      <c r="A30" s="83"/>
      <c r="B30" s="291"/>
      <c r="C30" s="291"/>
      <c r="D30" s="318" t="s">
        <v>329</v>
      </c>
      <c r="E30" s="320" t="s">
        <v>330</v>
      </c>
      <c r="F30" s="322"/>
      <c r="G30" s="319"/>
      <c r="J30" s="283" t="n">
        <v>0</v>
      </c>
    </row>
    <row r="31" s="283" customFormat="true" ht="11.25" hidden="true" customHeight="true" outlineLevel="0" collapsed="false">
      <c r="A31" s="83"/>
      <c r="B31" s="291"/>
      <c r="C31" s="291"/>
      <c r="D31" s="318" t="s">
        <v>331</v>
      </c>
      <c r="E31" s="320" t="s">
        <v>332</v>
      </c>
      <c r="F31" s="322"/>
      <c r="G31" s="319"/>
      <c r="J31" s="283" t="n">
        <v>0</v>
      </c>
    </row>
    <row r="32" s="283" customFormat="true" ht="11.25" hidden="true" customHeight="true" outlineLevel="0" collapsed="false">
      <c r="A32" s="83"/>
      <c r="B32" s="291"/>
      <c r="C32" s="291"/>
      <c r="D32" s="318" t="s">
        <v>333</v>
      </c>
      <c r="E32" s="320" t="s">
        <v>334</v>
      </c>
      <c r="F32" s="322"/>
      <c r="G32" s="319"/>
      <c r="J32" s="283" t="n">
        <v>0</v>
      </c>
    </row>
    <row r="33" customFormat="false" ht="24" hidden="false" customHeight="true" outlineLevel="0" collapsed="false">
      <c r="A33" s="83" t="str">
        <f aca="false">IF(TEMPLATE_SPHERE="HEAT","6","5")</f>
        <v>5</v>
      </c>
      <c r="B33" s="291"/>
      <c r="C33" s="83"/>
      <c r="D33" s="310" t="str">
        <f aca="false">A33</f>
        <v>5</v>
      </c>
      <c r="E33" s="323" t="str">
        <f aca="false">"Фамилия,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20" t="s">
        <v>303</v>
      </c>
      <c r="G33" s="303"/>
      <c r="H33" s="300"/>
      <c r="J33" s="284" t="n">
        <v>23</v>
      </c>
    </row>
    <row r="34" customFormat="false" ht="23.25" hidden="false" customHeight="true" outlineLevel="0" collapsed="false">
      <c r="A34" s="83"/>
      <c r="B34" s="291"/>
      <c r="C34" s="83"/>
      <c r="D34" s="310" t="str">
        <f aca="false">D33&amp;".1"</f>
        <v>5.1</v>
      </c>
      <c r="E34" s="304" t="str">
        <f aca="false">"фамилия"&amp;IF(TEMPLATE_SPHERE&lt;&gt;"HEAT"," руководителя","")</f>
        <v>фамилия руководителя</v>
      </c>
      <c r="F34" s="305"/>
      <c r="G34" s="302" t="str">
        <f aca="false">"Указывается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300"/>
      <c r="J34" s="284" t="n">
        <v>22</v>
      </c>
    </row>
    <row r="35" customFormat="false" ht="23.25" hidden="false" customHeight="true" outlineLevel="0" collapsed="false">
      <c r="A35" s="83"/>
      <c r="B35" s="291"/>
      <c r="C35" s="83"/>
      <c r="D35" s="310" t="str">
        <f aca="false">D33&amp;".2"</f>
        <v>5.2</v>
      </c>
      <c r="E35" s="304" t="str">
        <f aca="false">"имя"&amp;IF(TEMPLATE_SPHERE&lt;&gt;"HEAT"," руководителя","")</f>
        <v>имя руководителя</v>
      </c>
      <c r="F35" s="305"/>
      <c r="G35" s="302" t="str">
        <f aca="false">"Указывается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300"/>
      <c r="J35" s="284" t="n">
        <v>22</v>
      </c>
    </row>
    <row r="36" customFormat="false" ht="24" hidden="false" customHeight="true" outlineLevel="0" collapsed="false">
      <c r="A36" s="83"/>
      <c r="B36" s="291"/>
      <c r="C36" s="83"/>
      <c r="D36" s="310" t="str">
        <f aca="false">D33&amp;".3"</f>
        <v>5.3</v>
      </c>
      <c r="E36" s="304" t="str">
        <f aca="false">"отчество"&amp;IF(TEMPLATE_SPHERE&lt;&gt;"HEAT"," руководителя","")</f>
        <v>отчество руководителя</v>
      </c>
      <c r="F36" s="324"/>
      <c r="G36" s="302" t="str">
        <f aca="false">"Указывается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300"/>
      <c r="J36" s="284" t="n">
        <v>23</v>
      </c>
    </row>
    <row r="37" customFormat="false" ht="35.25" hidden="false" customHeight="true" outlineLevel="0" collapsed="false">
      <c r="A37" s="83"/>
      <c r="B37" s="291"/>
      <c r="C37" s="83"/>
      <c r="D37" s="310" t="n">
        <f aca="false">D33+1</f>
        <v>6</v>
      </c>
      <c r="E37" s="323" t="str">
        <f aca="false">"Почтовый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05"/>
      <c r="G37" s="302" t="s">
        <v>335</v>
      </c>
      <c r="H37" s="300"/>
      <c r="J37" s="284" t="n">
        <v>34</v>
      </c>
    </row>
    <row r="38" customFormat="false" ht="35.25" hidden="false" customHeight="true" outlineLevel="0" collapsed="false">
      <c r="A38" s="83"/>
      <c r="B38" s="291"/>
      <c r="C38" s="83"/>
      <c r="D38" s="310" t="n">
        <f aca="false">D37+1</f>
        <v>7</v>
      </c>
      <c r="E38" s="323" t="str">
        <f aca="false">"Адрес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05"/>
      <c r="G38" s="302" t="s">
        <v>335</v>
      </c>
      <c r="H38" s="300"/>
      <c r="J38" s="284" t="n">
        <v>34</v>
      </c>
    </row>
    <row r="39" customFormat="false" ht="23.25" hidden="false" customHeight="true" outlineLevel="0" collapsed="false">
      <c r="A39" s="83"/>
      <c r="B39" s="291"/>
      <c r="C39" s="83"/>
      <c r="D39" s="310" t="n">
        <f aca="false">D38+1</f>
        <v>8</v>
      </c>
      <c r="E39" s="325" t="str">
        <f aca="false">"Контактные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20" t="s">
        <v>303</v>
      </c>
      <c r="G39" s="326" t="str">
        <f aca="false">"Указывается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00"/>
      <c r="J39" s="284" t="n">
        <v>22</v>
      </c>
    </row>
    <row r="40" customFormat="false" ht="22.5" hidden="true" customHeight="true" outlineLevel="0" collapsed="false">
      <c r="A40" s="83"/>
      <c r="B40" s="291"/>
      <c r="C40" s="83"/>
      <c r="D40" s="310" t="str">
        <f aca="false">D39&amp;".0"</f>
        <v>8.0</v>
      </c>
      <c r="E40" s="327"/>
      <c r="F40" s="312"/>
      <c r="G40" s="326"/>
      <c r="H40" s="300"/>
      <c r="J40" s="284" t="n">
        <v>0</v>
      </c>
    </row>
    <row r="41" customFormat="false" ht="23.25" hidden="false" customHeight="true" outlineLevel="0" collapsed="false">
      <c r="A41" s="83"/>
      <c r="B41" s="83"/>
      <c r="C41" s="328"/>
      <c r="D41" s="310" t="str">
        <f aca="false">D39&amp;".1"</f>
        <v>8.1</v>
      </c>
      <c r="E41" s="329"/>
      <c r="F41" s="330"/>
      <c r="G41" s="326"/>
      <c r="H41" s="300"/>
      <c r="J41" s="284" t="n">
        <v>22</v>
      </c>
    </row>
    <row r="42" customFormat="false" ht="15.75" hidden="false" customHeight="true" outlineLevel="0" collapsed="false">
      <c r="A42" s="83"/>
      <c r="B42" s="291"/>
      <c r="C42" s="83"/>
      <c r="D42" s="315"/>
      <c r="E42" s="165" t="s">
        <v>336</v>
      </c>
      <c r="F42" s="317"/>
      <c r="G42" s="326"/>
      <c r="H42" s="331"/>
      <c r="J42" s="284" t="n">
        <v>15</v>
      </c>
    </row>
    <row r="43" customFormat="false" ht="27" hidden="false" customHeight="true" outlineLevel="0" collapsed="false">
      <c r="A43" s="83"/>
      <c r="B43" s="291"/>
      <c r="C43" s="83"/>
      <c r="D43" s="310" t="n">
        <f aca="false">D39+1</f>
        <v>9</v>
      </c>
      <c r="E43" s="323" t="str">
        <f aca="false">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332"/>
      <c r="G43" s="302" t="str">
        <f aca="false">"Указывается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00"/>
      <c r="J43" s="284" t="n">
        <v>26</v>
      </c>
    </row>
    <row r="44" customFormat="false" ht="23.25" hidden="false" customHeight="true" outlineLevel="0" collapsed="false">
      <c r="A44" s="83"/>
      <c r="B44" s="291"/>
      <c r="C44" s="83"/>
      <c r="D44" s="310" t="n">
        <f aca="false">D43+1</f>
        <v>10</v>
      </c>
      <c r="E44" s="323" t="str">
        <f aca="false">"Адрес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33"/>
      <c r="G44" s="303" t="s">
        <v>337</v>
      </c>
      <c r="H44" s="300"/>
      <c r="J44" s="284" t="n">
        <v>22</v>
      </c>
    </row>
    <row r="45" customFormat="false" ht="23.25" hidden="false" customHeight="true" outlineLevel="0" collapsed="false">
      <c r="A45" s="83"/>
      <c r="B45" s="291"/>
      <c r="C45" s="83"/>
      <c r="D45" s="310" t="n">
        <f aca="false">D44+1</f>
        <v>11</v>
      </c>
      <c r="E45" s="323" t="s">
        <v>338</v>
      </c>
      <c r="F45" s="220" t="s">
        <v>303</v>
      </c>
      <c r="G45" s="325" t="str">
        <f aca="false">IF(TEMPLATE_SPHERE="TKO","Указывается режим работы организации.","")</f>
        <v/>
      </c>
      <c r="H45" s="300"/>
      <c r="J45" s="284" t="n">
        <v>22</v>
      </c>
    </row>
    <row r="46" customFormat="false" ht="24" hidden="false" customHeight="true" outlineLevel="0" collapsed="false">
      <c r="A46" s="83"/>
      <c r="B46" s="291"/>
      <c r="C46" s="83"/>
      <c r="D46" s="310" t="str">
        <f aca="false">D45&amp;".1"</f>
        <v>11.1</v>
      </c>
      <c r="E46" s="304" t="str">
        <f aca="false">"режим работы регулируемой организации"&amp;IF(TEMPLATE_SPHERE="HEAT",", ЕТО, ТО","")</f>
        <v>режим работы регулируемой организации</v>
      </c>
      <c r="F46" s="334"/>
      <c r="G46" s="325" t="s">
        <v>339</v>
      </c>
      <c r="H46" s="300"/>
      <c r="J46" s="284" t="n">
        <v>23</v>
      </c>
    </row>
    <row r="47" customFormat="false" ht="24" hidden="false" customHeight="true" outlineLevel="0" collapsed="false">
      <c r="A47" s="307"/>
      <c r="B47" s="291"/>
      <c r="C47" s="314"/>
      <c r="D47" s="310" t="str">
        <f aca="false">D45&amp;".2"</f>
        <v>11.2</v>
      </c>
      <c r="E47" s="304" t="s">
        <v>340</v>
      </c>
      <c r="F47" s="334"/>
      <c r="G47" s="325" t="s">
        <v>341</v>
      </c>
      <c r="H47" s="300"/>
      <c r="J47" s="284" t="n">
        <v>23</v>
      </c>
    </row>
    <row r="48" customFormat="false" ht="24" hidden="false" customHeight="true" outlineLevel="0" collapsed="false">
      <c r="A48" s="307"/>
      <c r="B48" s="291"/>
      <c r="C48" s="314"/>
      <c r="D48" s="310" t="str">
        <f aca="false">D45&amp;".3"</f>
        <v>11.3</v>
      </c>
      <c r="E48" s="304" t="s">
        <v>342</v>
      </c>
      <c r="F48" s="334"/>
      <c r="G48" s="325" t="s">
        <v>343</v>
      </c>
      <c r="H48" s="300"/>
      <c r="J48" s="284" t="n">
        <v>23</v>
      </c>
    </row>
    <row r="49" customFormat="false" ht="24" hidden="false" customHeight="true" outlineLevel="0" collapsed="false">
      <c r="A49" s="307"/>
      <c r="B49" s="291"/>
      <c r="C49" s="314"/>
      <c r="D49" s="310" t="str">
        <f aca="false">IF(TEMPLATE_SPHERE="TKO",D45&amp;".0",D45&amp;".4")</f>
        <v>11.4</v>
      </c>
      <c r="E49" s="335" t="s">
        <v>344</v>
      </c>
      <c r="F49" s="336"/>
      <c r="G49" s="337" t="s">
        <v>345</v>
      </c>
      <c r="H49" s="300"/>
      <c r="J49" s="284" t="n">
        <v>23</v>
      </c>
    </row>
    <row r="50" customFormat="false" ht="24" hidden="false" customHeight="true" outlineLevel="0" collapsed="false">
      <c r="A50" s="83"/>
      <c r="B50" s="291"/>
      <c r="C50" s="83"/>
      <c r="D50" s="315"/>
      <c r="E50" s="165" t="s">
        <v>346</v>
      </c>
      <c r="F50" s="316"/>
      <c r="G50" s="337" t="s">
        <v>347</v>
      </c>
      <c r="H50" s="331"/>
      <c r="J50" s="284" t="n">
        <v>23</v>
      </c>
    </row>
    <row r="51" customFormat="false" ht="24" hidden="false" customHeight="true" outlineLevel="0" collapsed="false">
      <c r="A51" s="307"/>
      <c r="B51" s="291"/>
      <c r="C51" s="314"/>
      <c r="D51" s="310" t="n">
        <f aca="false">D45+1</f>
        <v>12</v>
      </c>
      <c r="E51" s="338" t="s">
        <v>348</v>
      </c>
      <c r="F51" s="334"/>
      <c r="G51" s="339" t="str">
        <f aca="false">"Указывается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300"/>
      <c r="J51" s="284" t="n">
        <v>23</v>
      </c>
    </row>
    <row r="52" customFormat="false" ht="11.25" hidden="false" customHeight="true" outlineLevel="0" collapsed="false">
      <c r="A52" s="83"/>
      <c r="B52" s="291"/>
      <c r="C52" s="83"/>
      <c r="J52" s="284" t="n">
        <v>11</v>
      </c>
    </row>
    <row r="53" s="343" customFormat="true" ht="31.5" hidden="false" customHeight="true" outlineLevel="0" collapsed="false">
      <c r="A53" s="340"/>
      <c r="B53" s="49"/>
      <c r="C53" s="341"/>
      <c r="D53" s="342" t="str">
        <f aca="false">"В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342"/>
      <c r="F53" s="342"/>
      <c r="G53" s="342"/>
      <c r="H53" s="173"/>
      <c r="I53" s="173"/>
      <c r="J53" s="343" t="n">
        <v>30</v>
      </c>
    </row>
    <row r="54" s="343" customFormat="true" ht="42" hidden="false" customHeight="true" outlineLevel="0" collapsed="false">
      <c r="A54" s="83"/>
      <c r="B54" s="291"/>
      <c r="C54" s="341"/>
      <c r="D54" s="342" t="str">
        <f aca="false">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342"/>
      <c r="F54" s="342"/>
      <c r="G54" s="342"/>
      <c r="J54" s="343" t="n">
        <v>40</v>
      </c>
    </row>
    <row r="55" customFormat="false" ht="11.25" hidden="false" customHeight="true" outlineLevel="0" collapsed="false">
      <c r="D55" s="344"/>
      <c r="E55" s="345"/>
      <c r="F55" s="345"/>
      <c r="G55" s="345"/>
      <c r="J55" s="284" t="n">
        <v>11</v>
      </c>
    </row>
    <row r="56" customFormat="false" ht="28.5" hidden="false" customHeight="true" outlineLevel="0" collapsed="false">
      <c r="D56" s="346"/>
      <c r="E56" s="344"/>
      <c r="F56" s="347"/>
      <c r="G56" s="347"/>
      <c r="J56" s="284" t="n">
        <v>27</v>
      </c>
    </row>
    <row r="57" customFormat="false" ht="11.25" hidden="false" customHeight="true" outlineLevel="0" collapsed="false">
      <c r="D57" s="344"/>
      <c r="E57" s="344"/>
      <c r="F57" s="345"/>
      <c r="G57" s="345"/>
      <c r="J57" s="284" t="n">
        <v>11</v>
      </c>
    </row>
    <row r="58" customFormat="false" ht="40.5" hidden="false" customHeight="true" outlineLevel="0" collapsed="false">
      <c r="D58" s="348"/>
      <c r="E58" s="349"/>
      <c r="F58" s="349"/>
      <c r="G58" s="349"/>
      <c r="J58" s="284" t="n">
        <v>39</v>
      </c>
    </row>
    <row r="59" customFormat="false" ht="28.5" hidden="false" customHeight="true" outlineLevel="0" collapsed="false">
      <c r="D59" s="348"/>
      <c r="E59" s="349"/>
      <c r="F59" s="349"/>
      <c r="G59" s="349"/>
      <c r="J59" s="284" t="n">
        <v>27</v>
      </c>
    </row>
    <row r="60" customFormat="false" ht="11.25" hidden="true" customHeight="true" outlineLevel="0" collapsed="false">
      <c r="A60" s="282" t="s">
        <v>80</v>
      </c>
      <c r="B60" s="283" t="n">
        <v>0</v>
      </c>
      <c r="C60" s="284" t="n">
        <v>3</v>
      </c>
      <c r="D60" s="285" t="n">
        <v>6</v>
      </c>
      <c r="E60" s="284" t="n">
        <v>52</v>
      </c>
      <c r="F60" s="284" t="n">
        <v>48</v>
      </c>
      <c r="G60" s="284" t="n">
        <v>121</v>
      </c>
      <c r="H60" s="284" t="n">
        <v>8</v>
      </c>
      <c r="I60" s="284" t="n">
        <v>64</v>
      </c>
      <c r="J60" s="284" t="n">
        <v>11</v>
      </c>
    </row>
  </sheetData>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3">
    <dataValidation allowBlank="true" error="Допускается ввод не более 900 символов!" errorStyle="stop" errorTitle="Ошибка" operator="lessThanOrEqual" showDropDown="false" showErrorMessage="true" showInputMessage="true" sqref="F13 F16 F18 F20 F22:F23 F27:F32 F34:F38 E40:F41 F43:F44"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7 F21"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46:F49 F51" type="list">
      <formula1>"a"</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cols>
    <col collapsed="false" customWidth="true" hidden="false" outlineLevel="0" max="1" min="1" style="55" width="10.57"/>
    <col collapsed="false" customWidth="true" hidden="false" outlineLevel="0" max="2" min="2" style="55" width="8.7"/>
    <col collapsed="false" customWidth="true" hidden="false" outlineLevel="0" max="3" min="3" style="55" width="18.15"/>
    <col collapsed="false" customWidth="true" hidden="false" outlineLevel="0" max="4" min="4" style="55" width="12.58"/>
  </cols>
  <sheetData>
    <row r="1" customFormat="false" ht="11.25" hidden="false" customHeight="true" outlineLevel="0" collapsed="false">
      <c r="A1" s="1258" t="s">
        <v>2229</v>
      </c>
      <c r="B1" s="1259" t="s">
        <v>2230</v>
      </c>
      <c r="C1" s="1260" t="s">
        <v>2231</v>
      </c>
      <c r="D1" s="1260"/>
      <c r="E1" s="1035" t="s">
        <v>2232</v>
      </c>
    </row>
    <row r="2" customFormat="false" ht="11.25" hidden="false" customHeight="true" outlineLevel="0" collapsed="false">
      <c r="A2" s="1261"/>
      <c r="B2" s="1262" t="s">
        <v>26</v>
      </c>
      <c r="C2" s="1035"/>
      <c r="D2" s="918"/>
      <c r="E2" s="1035"/>
    </row>
    <row r="3" customFormat="false" ht="11.25" hidden="false" customHeight="true" outlineLevel="0" collapsed="false">
      <c r="A3" s="1263"/>
      <c r="B3" s="1264" t="s">
        <v>32</v>
      </c>
      <c r="C3" s="1035"/>
      <c r="D3" s="918"/>
      <c r="E3" s="1035"/>
    </row>
    <row r="4" customFormat="false" ht="11.25" hidden="false" customHeight="true" outlineLevel="0" collapsed="false">
      <c r="A4" s="1265"/>
      <c r="B4" s="1266" t="s">
        <v>1657</v>
      </c>
      <c r="C4" s="1035"/>
      <c r="D4" s="918"/>
      <c r="E4" s="1035"/>
    </row>
    <row r="5" customFormat="false" ht="11.25" hidden="false" customHeight="true" outlineLevel="0" collapsed="false">
      <c r="A5" s="1267"/>
      <c r="B5" s="1266" t="s">
        <v>1651</v>
      </c>
      <c r="C5" s="1268" t="s">
        <v>1996</v>
      </c>
      <c r="D5" s="1269" t="s">
        <v>2233</v>
      </c>
      <c r="E5" s="1035"/>
    </row>
    <row r="6" s="55" customFormat="true" ht="11.25" hidden="false" customHeight="true" outlineLevel="0" collapsed="false">
      <c r="A6" s="1270"/>
      <c r="B6" s="1266" t="s">
        <v>1661</v>
      </c>
      <c r="C6" s="1035"/>
      <c r="D6" s="918"/>
      <c r="E6" s="1035"/>
    </row>
    <row r="7" customFormat="false" ht="11.25" hidden="false" customHeight="true" outlineLevel="0" collapsed="false">
      <c r="A7" s="1271"/>
      <c r="B7" s="1266" t="s">
        <v>1669</v>
      </c>
      <c r="C7" s="1035"/>
      <c r="D7" s="918"/>
      <c r="E7" s="1035"/>
    </row>
    <row r="8" customFormat="false" ht="11.25" hidden="false" customHeight="true" outlineLevel="0" collapsed="false">
      <c r="A8" s="1272"/>
      <c r="B8" s="1266" t="s">
        <v>1664</v>
      </c>
      <c r="C8" s="1035"/>
      <c r="D8" s="918"/>
      <c r="E8" s="1035"/>
    </row>
  </sheetData>
  <mergeCells count="1">
    <mergeCell ref="C1:D1"/>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I152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2" min="1" style="55" width="9.15"/>
    <col collapsed="false" customWidth="true" hidden="false" outlineLevel="0" max="3" min="3" style="55" width="20.71"/>
    <col collapsed="false" customWidth="true" hidden="false" outlineLevel="0" max="4" min="4" style="55" width="25.15"/>
    <col collapsed="false" customWidth="false" hidden="false" outlineLevel="0" max="9" min="5" style="55" width="9.15"/>
  </cols>
  <sheetData>
    <row r="1" customFormat="false" ht="11.25" hidden="false" customHeight="true" outlineLevel="0" collapsed="false">
      <c r="A1" s="55" t="s">
        <v>2234</v>
      </c>
      <c r="B1" s="55" t="s">
        <v>2235</v>
      </c>
      <c r="C1" s="55" t="s">
        <v>2236</v>
      </c>
      <c r="D1" s="55" t="s">
        <v>2237</v>
      </c>
      <c r="E1" s="55" t="s">
        <v>2238</v>
      </c>
      <c r="F1" s="55" t="s">
        <v>2239</v>
      </c>
      <c r="G1" s="55" t="s">
        <v>2240</v>
      </c>
      <c r="H1" s="55" t="s">
        <v>2241</v>
      </c>
      <c r="I1" s="55" t="s">
        <v>2242</v>
      </c>
    </row>
    <row r="2" customFormat="false" ht="11.25" hidden="false" customHeight="true" outlineLevel="0" collapsed="false">
      <c r="A2" s="55" t="s">
        <v>2243</v>
      </c>
      <c r="B2" s="55" t="s">
        <v>16</v>
      </c>
      <c r="C2" s="55" t="s">
        <v>2244</v>
      </c>
      <c r="D2" s="55" t="s">
        <v>2245</v>
      </c>
      <c r="E2" s="55" t="s">
        <v>2246</v>
      </c>
      <c r="F2" s="55" t="s">
        <v>2247</v>
      </c>
      <c r="G2" s="55" t="s">
        <v>2248</v>
      </c>
      <c r="I2" s="55" t="s">
        <v>805</v>
      </c>
    </row>
    <row r="3" customFormat="false" ht="11.25" hidden="false" customHeight="true" outlineLevel="0" collapsed="false">
      <c r="A3" s="55" t="s">
        <v>2243</v>
      </c>
      <c r="B3" s="55" t="s">
        <v>16</v>
      </c>
      <c r="C3" s="55" t="s">
        <v>2249</v>
      </c>
      <c r="D3" s="55" t="s">
        <v>2250</v>
      </c>
      <c r="E3" s="55" t="s">
        <v>2251</v>
      </c>
      <c r="F3" s="55" t="s">
        <v>2252</v>
      </c>
      <c r="I3" s="55" t="s">
        <v>805</v>
      </c>
    </row>
    <row r="4" customFormat="false" ht="11.25" hidden="false" customHeight="true" outlineLevel="0" collapsed="false">
      <c r="A4" s="55" t="s">
        <v>2243</v>
      </c>
      <c r="B4" s="55" t="s">
        <v>16</v>
      </c>
      <c r="C4" s="55" t="s">
        <v>2253</v>
      </c>
      <c r="D4" s="55" t="s">
        <v>2254</v>
      </c>
      <c r="E4" s="55" t="s">
        <v>2255</v>
      </c>
      <c r="F4" s="55" t="s">
        <v>2256</v>
      </c>
      <c r="G4" s="55" t="s">
        <v>2257</v>
      </c>
      <c r="I4" s="55" t="s">
        <v>805</v>
      </c>
    </row>
    <row r="5" customFormat="false" ht="11.25" hidden="false" customHeight="true" outlineLevel="0" collapsed="false">
      <c r="A5" s="55" t="s">
        <v>2243</v>
      </c>
      <c r="B5" s="55" t="s">
        <v>16</v>
      </c>
      <c r="C5" s="55" t="s">
        <v>2258</v>
      </c>
      <c r="D5" s="55" t="s">
        <v>2259</v>
      </c>
      <c r="E5" s="55" t="s">
        <v>2260</v>
      </c>
      <c r="F5" s="55" t="s">
        <v>2261</v>
      </c>
      <c r="I5" s="55" t="s">
        <v>805</v>
      </c>
    </row>
    <row r="6" customFormat="false" ht="11.25" hidden="false" customHeight="true" outlineLevel="0" collapsed="false">
      <c r="A6" s="55" t="s">
        <v>2243</v>
      </c>
      <c r="B6" s="55" t="s">
        <v>16</v>
      </c>
      <c r="C6" s="55" t="s">
        <v>2262</v>
      </c>
      <c r="D6" s="55" t="s">
        <v>2263</v>
      </c>
      <c r="E6" s="55" t="s">
        <v>2264</v>
      </c>
      <c r="F6" s="55" t="s">
        <v>2265</v>
      </c>
      <c r="I6" s="55" t="s">
        <v>805</v>
      </c>
    </row>
    <row r="7" customFormat="false" ht="11.25" hidden="false" customHeight="true" outlineLevel="0" collapsed="false">
      <c r="A7" s="55" t="s">
        <v>2243</v>
      </c>
      <c r="B7" s="55" t="s">
        <v>16</v>
      </c>
      <c r="C7" s="55" t="s">
        <v>2266</v>
      </c>
      <c r="D7" s="55" t="s">
        <v>2267</v>
      </c>
      <c r="E7" s="55" t="s">
        <v>2268</v>
      </c>
      <c r="F7" s="55" t="s">
        <v>2269</v>
      </c>
      <c r="G7" s="55" t="s">
        <v>2270</v>
      </c>
      <c r="I7" s="55" t="s">
        <v>805</v>
      </c>
    </row>
    <row r="8" customFormat="false" ht="11.25" hidden="false" customHeight="true" outlineLevel="0" collapsed="false">
      <c r="A8" s="55" t="s">
        <v>2243</v>
      </c>
      <c r="B8" s="55" t="s">
        <v>16</v>
      </c>
      <c r="C8" s="55" t="s">
        <v>2271</v>
      </c>
      <c r="D8" s="55" t="s">
        <v>2272</v>
      </c>
      <c r="E8" s="55" t="s">
        <v>2273</v>
      </c>
      <c r="F8" s="55" t="s">
        <v>2274</v>
      </c>
      <c r="I8" s="55" t="s">
        <v>805</v>
      </c>
    </row>
    <row r="9" customFormat="false" ht="11.25" hidden="false" customHeight="true" outlineLevel="0" collapsed="false">
      <c r="A9" s="55" t="s">
        <v>2243</v>
      </c>
      <c r="B9" s="55" t="s">
        <v>16</v>
      </c>
      <c r="C9" s="55" t="s">
        <v>2275</v>
      </c>
      <c r="D9" s="55" t="s">
        <v>2276</v>
      </c>
      <c r="E9" s="55" t="s">
        <v>2277</v>
      </c>
      <c r="F9" s="55" t="s">
        <v>2278</v>
      </c>
      <c r="G9" s="55" t="s">
        <v>2279</v>
      </c>
      <c r="I9" s="55" t="s">
        <v>805</v>
      </c>
    </row>
    <row r="10" customFormat="false" ht="11.25" hidden="false" customHeight="true" outlineLevel="0" collapsed="false">
      <c r="A10" s="55" t="s">
        <v>2243</v>
      </c>
      <c r="B10" s="55" t="s">
        <v>16</v>
      </c>
      <c r="C10" s="55" t="s">
        <v>2280</v>
      </c>
      <c r="D10" s="55" t="s">
        <v>2281</v>
      </c>
      <c r="E10" s="55" t="s">
        <v>2282</v>
      </c>
      <c r="F10" s="55" t="s">
        <v>2283</v>
      </c>
      <c r="I10" s="55" t="s">
        <v>805</v>
      </c>
    </row>
    <row r="11" customFormat="false" ht="11.25" hidden="false" customHeight="true" outlineLevel="0" collapsed="false">
      <c r="A11" s="55" t="s">
        <v>2243</v>
      </c>
      <c r="B11" s="55" t="s">
        <v>16</v>
      </c>
      <c r="C11" s="55" t="s">
        <v>2284</v>
      </c>
      <c r="D11" s="55" t="s">
        <v>2285</v>
      </c>
      <c r="E11" s="55" t="s">
        <v>2286</v>
      </c>
      <c r="F11" s="55" t="s">
        <v>2287</v>
      </c>
      <c r="I11" s="55" t="s">
        <v>805</v>
      </c>
    </row>
    <row r="12" customFormat="false" ht="11.25" hidden="false" customHeight="true" outlineLevel="0" collapsed="false">
      <c r="A12" s="55" t="s">
        <v>2243</v>
      </c>
      <c r="B12" s="55" t="s">
        <v>16</v>
      </c>
      <c r="C12" s="55" t="s">
        <v>2288</v>
      </c>
      <c r="D12" s="55" t="s">
        <v>2289</v>
      </c>
      <c r="E12" s="55" t="s">
        <v>2290</v>
      </c>
      <c r="F12" s="55" t="s">
        <v>2291</v>
      </c>
      <c r="I12" s="55" t="s">
        <v>805</v>
      </c>
    </row>
    <row r="13" customFormat="false" ht="11.25" hidden="false" customHeight="true" outlineLevel="0" collapsed="false">
      <c r="A13" s="55" t="s">
        <v>2243</v>
      </c>
      <c r="B13" s="55" t="s">
        <v>16</v>
      </c>
      <c r="C13" s="55" t="s">
        <v>2292</v>
      </c>
      <c r="D13" s="55" t="s">
        <v>2293</v>
      </c>
      <c r="E13" s="55" t="s">
        <v>2294</v>
      </c>
      <c r="F13" s="55" t="s">
        <v>2247</v>
      </c>
      <c r="I13" s="55" t="s">
        <v>805</v>
      </c>
    </row>
    <row r="14" customFormat="false" ht="11.25" hidden="false" customHeight="true" outlineLevel="0" collapsed="false">
      <c r="A14" s="55" t="s">
        <v>2243</v>
      </c>
      <c r="B14" s="55" t="s">
        <v>16</v>
      </c>
      <c r="C14" s="55" t="s">
        <v>2295</v>
      </c>
      <c r="D14" s="55" t="s">
        <v>2296</v>
      </c>
      <c r="E14" s="55" t="s">
        <v>2297</v>
      </c>
      <c r="F14" s="55" t="s">
        <v>2298</v>
      </c>
      <c r="I14" s="55" t="s">
        <v>805</v>
      </c>
    </row>
    <row r="15" customFormat="false" ht="11.25" hidden="false" customHeight="true" outlineLevel="0" collapsed="false">
      <c r="A15" s="55" t="s">
        <v>2243</v>
      </c>
      <c r="B15" s="55" t="s">
        <v>16</v>
      </c>
      <c r="C15" s="55" t="s">
        <v>2299</v>
      </c>
      <c r="D15" s="55" t="s">
        <v>2300</v>
      </c>
      <c r="E15" s="55" t="s">
        <v>2297</v>
      </c>
      <c r="F15" s="55" t="s">
        <v>2301</v>
      </c>
      <c r="G15" s="55" t="s">
        <v>2302</v>
      </c>
      <c r="I15" s="55" t="s">
        <v>805</v>
      </c>
    </row>
    <row r="16" customFormat="false" ht="11.25" hidden="false" customHeight="true" outlineLevel="0" collapsed="false">
      <c r="A16" s="55" t="s">
        <v>2243</v>
      </c>
      <c r="B16" s="55" t="s">
        <v>16</v>
      </c>
      <c r="C16" s="55" t="s">
        <v>2303</v>
      </c>
      <c r="D16" s="55" t="s">
        <v>2304</v>
      </c>
      <c r="E16" s="55" t="s">
        <v>2305</v>
      </c>
      <c r="F16" s="55" t="s">
        <v>2261</v>
      </c>
      <c r="I16" s="55" t="s">
        <v>805</v>
      </c>
    </row>
    <row r="17" customFormat="false" ht="11.25" hidden="false" customHeight="true" outlineLevel="0" collapsed="false">
      <c r="A17" s="55" t="s">
        <v>2243</v>
      </c>
      <c r="B17" s="55" t="s">
        <v>16</v>
      </c>
      <c r="C17" s="55" t="s">
        <v>2306</v>
      </c>
      <c r="D17" s="55" t="s">
        <v>2307</v>
      </c>
      <c r="E17" s="55" t="s">
        <v>2308</v>
      </c>
      <c r="F17" s="55" t="s">
        <v>2309</v>
      </c>
      <c r="G17" s="55" t="s">
        <v>2310</v>
      </c>
      <c r="I17" s="55" t="s">
        <v>805</v>
      </c>
    </row>
    <row r="18" customFormat="false" ht="11.25" hidden="false" customHeight="true" outlineLevel="0" collapsed="false">
      <c r="A18" s="55" t="s">
        <v>2243</v>
      </c>
      <c r="B18" s="55" t="s">
        <v>16</v>
      </c>
      <c r="C18" s="55" t="s">
        <v>2311</v>
      </c>
      <c r="D18" s="55" t="s">
        <v>2312</v>
      </c>
      <c r="E18" s="55" t="s">
        <v>2313</v>
      </c>
      <c r="F18" s="55" t="s">
        <v>2314</v>
      </c>
      <c r="I18" s="55" t="s">
        <v>805</v>
      </c>
    </row>
    <row r="19" customFormat="false" ht="11.25" hidden="false" customHeight="true" outlineLevel="0" collapsed="false">
      <c r="A19" s="55" t="s">
        <v>2243</v>
      </c>
      <c r="B19" s="55" t="s">
        <v>16</v>
      </c>
      <c r="C19" s="55" t="s">
        <v>2315</v>
      </c>
      <c r="D19" s="55" t="s">
        <v>2316</v>
      </c>
      <c r="E19" s="55" t="s">
        <v>2317</v>
      </c>
      <c r="F19" s="55" t="s">
        <v>2318</v>
      </c>
      <c r="G19" s="55" t="s">
        <v>2319</v>
      </c>
      <c r="I19" s="55" t="s">
        <v>805</v>
      </c>
    </row>
    <row r="20" customFormat="false" ht="11.25" hidden="false" customHeight="true" outlineLevel="0" collapsed="false">
      <c r="A20" s="55" t="s">
        <v>2243</v>
      </c>
      <c r="B20" s="55" t="s">
        <v>16</v>
      </c>
      <c r="C20" s="55" t="s">
        <v>2320</v>
      </c>
      <c r="D20" s="55" t="s">
        <v>2321</v>
      </c>
      <c r="E20" s="55" t="s">
        <v>2322</v>
      </c>
      <c r="F20" s="55" t="s">
        <v>2247</v>
      </c>
      <c r="I20" s="55" t="s">
        <v>805</v>
      </c>
    </row>
    <row r="21" customFormat="false" ht="11.25" hidden="false" customHeight="true" outlineLevel="0" collapsed="false">
      <c r="A21" s="55" t="s">
        <v>2243</v>
      </c>
      <c r="B21" s="55" t="s">
        <v>16</v>
      </c>
      <c r="C21" s="55" t="s">
        <v>2323</v>
      </c>
      <c r="D21" s="55" t="s">
        <v>2324</v>
      </c>
      <c r="E21" s="55" t="s">
        <v>2325</v>
      </c>
      <c r="F21" s="55" t="s">
        <v>2291</v>
      </c>
      <c r="I21" s="55" t="s">
        <v>805</v>
      </c>
    </row>
    <row r="22" customFormat="false" ht="11.25" hidden="false" customHeight="true" outlineLevel="0" collapsed="false">
      <c r="A22" s="55" t="s">
        <v>2243</v>
      </c>
      <c r="B22" s="55" t="s">
        <v>16</v>
      </c>
      <c r="C22" s="55" t="s">
        <v>2326</v>
      </c>
      <c r="D22" s="55" t="s">
        <v>2327</v>
      </c>
      <c r="E22" s="55" t="s">
        <v>2328</v>
      </c>
      <c r="F22" s="55" t="s">
        <v>2329</v>
      </c>
      <c r="I22" s="55" t="s">
        <v>805</v>
      </c>
    </row>
    <row r="23" customFormat="false" ht="11.25" hidden="false" customHeight="true" outlineLevel="0" collapsed="false">
      <c r="A23" s="55" t="s">
        <v>2243</v>
      </c>
      <c r="B23" s="55" t="s">
        <v>16</v>
      </c>
      <c r="C23" s="55" t="s">
        <v>2330</v>
      </c>
      <c r="D23" s="55" t="s">
        <v>2331</v>
      </c>
      <c r="E23" s="55" t="s">
        <v>2332</v>
      </c>
      <c r="F23" s="55" t="s">
        <v>2333</v>
      </c>
      <c r="G23" s="55" t="s">
        <v>2334</v>
      </c>
      <c r="I23" s="55" t="s">
        <v>805</v>
      </c>
    </row>
    <row r="24" customFormat="false" ht="11.25" hidden="false" customHeight="true" outlineLevel="0" collapsed="false">
      <c r="A24" s="55" t="s">
        <v>2243</v>
      </c>
      <c r="B24" s="55" t="s">
        <v>16</v>
      </c>
      <c r="C24" s="55" t="s">
        <v>2335</v>
      </c>
      <c r="D24" s="55" t="s">
        <v>2336</v>
      </c>
      <c r="E24" s="55" t="s">
        <v>2337</v>
      </c>
      <c r="F24" s="55" t="s">
        <v>2338</v>
      </c>
      <c r="I24" s="55" t="s">
        <v>805</v>
      </c>
    </row>
    <row r="25" customFormat="false" ht="11.25" hidden="false" customHeight="true" outlineLevel="0" collapsed="false">
      <c r="A25" s="55" t="s">
        <v>2243</v>
      </c>
      <c r="B25" s="55" t="s">
        <v>16</v>
      </c>
      <c r="C25" s="55" t="s">
        <v>2339</v>
      </c>
      <c r="D25" s="55" t="s">
        <v>2340</v>
      </c>
      <c r="E25" s="55" t="s">
        <v>2341</v>
      </c>
      <c r="F25" s="55" t="s">
        <v>2342</v>
      </c>
      <c r="G25" s="55" t="s">
        <v>2343</v>
      </c>
      <c r="I25" s="55" t="s">
        <v>805</v>
      </c>
    </row>
    <row r="26" customFormat="false" ht="11.25" hidden="false" customHeight="true" outlineLevel="0" collapsed="false">
      <c r="A26" s="55" t="s">
        <v>2243</v>
      </c>
      <c r="B26" s="55" t="s">
        <v>16</v>
      </c>
      <c r="C26" s="55" t="s">
        <v>2344</v>
      </c>
      <c r="D26" s="55" t="s">
        <v>2345</v>
      </c>
      <c r="E26" s="55" t="s">
        <v>2346</v>
      </c>
      <c r="F26" s="55" t="s">
        <v>2347</v>
      </c>
      <c r="I26" s="55" t="s">
        <v>805</v>
      </c>
    </row>
    <row r="27" customFormat="false" ht="11.25" hidden="false" customHeight="true" outlineLevel="0" collapsed="false">
      <c r="A27" s="55" t="s">
        <v>2243</v>
      </c>
      <c r="B27" s="55" t="s">
        <v>16</v>
      </c>
      <c r="C27" s="55" t="s">
        <v>2348</v>
      </c>
      <c r="D27" s="55" t="s">
        <v>2349</v>
      </c>
      <c r="E27" s="55" t="s">
        <v>2350</v>
      </c>
      <c r="F27" s="55" t="s">
        <v>2314</v>
      </c>
      <c r="I27" s="55" t="s">
        <v>805</v>
      </c>
    </row>
    <row r="28" customFormat="false" ht="11.25" hidden="false" customHeight="true" outlineLevel="0" collapsed="false">
      <c r="A28" s="55" t="s">
        <v>2243</v>
      </c>
      <c r="B28" s="55" t="s">
        <v>16</v>
      </c>
      <c r="C28" s="55" t="s">
        <v>2351</v>
      </c>
      <c r="D28" s="55" t="s">
        <v>2352</v>
      </c>
      <c r="E28" s="55" t="s">
        <v>2353</v>
      </c>
      <c r="F28" s="55" t="s">
        <v>2342</v>
      </c>
      <c r="I28" s="55" t="s">
        <v>805</v>
      </c>
    </row>
    <row r="29" customFormat="false" ht="11.25" hidden="false" customHeight="true" outlineLevel="0" collapsed="false">
      <c r="A29" s="55" t="s">
        <v>2243</v>
      </c>
      <c r="B29" s="55" t="s">
        <v>16</v>
      </c>
      <c r="C29" s="55" t="s">
        <v>2354</v>
      </c>
      <c r="D29" s="55" t="s">
        <v>2355</v>
      </c>
      <c r="E29" s="55" t="s">
        <v>2356</v>
      </c>
      <c r="F29" s="55" t="s">
        <v>2357</v>
      </c>
      <c r="I29" s="55" t="s">
        <v>805</v>
      </c>
    </row>
    <row r="30" customFormat="false" ht="11.25" hidden="false" customHeight="true" outlineLevel="0" collapsed="false">
      <c r="A30" s="55" t="s">
        <v>2243</v>
      </c>
      <c r="B30" s="55" t="s">
        <v>16</v>
      </c>
      <c r="C30" s="55" t="s">
        <v>2358</v>
      </c>
      <c r="D30" s="55" t="s">
        <v>2359</v>
      </c>
      <c r="E30" s="55" t="s">
        <v>2360</v>
      </c>
      <c r="F30" s="55" t="s">
        <v>2347</v>
      </c>
      <c r="G30" s="55" t="s">
        <v>2361</v>
      </c>
      <c r="I30" s="55" t="s">
        <v>805</v>
      </c>
    </row>
    <row r="31" customFormat="false" ht="11.25" hidden="false" customHeight="true" outlineLevel="0" collapsed="false">
      <c r="A31" s="55" t="s">
        <v>2243</v>
      </c>
      <c r="B31" s="55" t="s">
        <v>16</v>
      </c>
      <c r="C31" s="55" t="s">
        <v>2362</v>
      </c>
      <c r="D31" s="55" t="s">
        <v>2363</v>
      </c>
      <c r="E31" s="55" t="s">
        <v>2364</v>
      </c>
      <c r="F31" s="55" t="s">
        <v>2283</v>
      </c>
      <c r="I31" s="55" t="s">
        <v>805</v>
      </c>
    </row>
    <row r="32" customFormat="false" ht="11.25" hidden="false" customHeight="true" outlineLevel="0" collapsed="false">
      <c r="A32" s="55" t="s">
        <v>2243</v>
      </c>
      <c r="B32" s="55" t="s">
        <v>16</v>
      </c>
      <c r="C32" s="55" t="s">
        <v>2365</v>
      </c>
      <c r="D32" s="55" t="s">
        <v>2366</v>
      </c>
      <c r="E32" s="55" t="s">
        <v>2367</v>
      </c>
      <c r="F32" s="55" t="s">
        <v>2357</v>
      </c>
      <c r="I32" s="55" t="s">
        <v>805</v>
      </c>
    </row>
    <row r="33" customFormat="false" ht="11.25" hidden="false" customHeight="true" outlineLevel="0" collapsed="false">
      <c r="A33" s="55" t="s">
        <v>2243</v>
      </c>
      <c r="B33" s="55" t="s">
        <v>16</v>
      </c>
      <c r="C33" s="55" t="s">
        <v>2368</v>
      </c>
      <c r="D33" s="55" t="s">
        <v>2369</v>
      </c>
      <c r="E33" s="55" t="s">
        <v>2370</v>
      </c>
      <c r="F33" s="55" t="s">
        <v>2371</v>
      </c>
      <c r="I33" s="55" t="s">
        <v>805</v>
      </c>
    </row>
    <row r="34" customFormat="false" ht="11.25" hidden="false" customHeight="true" outlineLevel="0" collapsed="false">
      <c r="A34" s="55" t="s">
        <v>2243</v>
      </c>
      <c r="B34" s="55" t="s">
        <v>16</v>
      </c>
      <c r="C34" s="55" t="s">
        <v>2372</v>
      </c>
      <c r="D34" s="55" t="s">
        <v>2373</v>
      </c>
      <c r="E34" s="55" t="s">
        <v>2374</v>
      </c>
      <c r="F34" s="55" t="s">
        <v>2329</v>
      </c>
      <c r="G34" s="55" t="s">
        <v>2375</v>
      </c>
      <c r="I34" s="55" t="s">
        <v>805</v>
      </c>
    </row>
    <row r="35" customFormat="false" ht="11.25" hidden="false" customHeight="true" outlineLevel="0" collapsed="false">
      <c r="A35" s="55" t="s">
        <v>2243</v>
      </c>
      <c r="B35" s="55" t="s">
        <v>16</v>
      </c>
      <c r="C35" s="55" t="s">
        <v>2376</v>
      </c>
      <c r="D35" s="55" t="s">
        <v>2377</v>
      </c>
      <c r="E35" s="55" t="s">
        <v>2378</v>
      </c>
      <c r="F35" s="55" t="s">
        <v>2318</v>
      </c>
      <c r="G35" s="55" t="s">
        <v>2379</v>
      </c>
      <c r="I35" s="55" t="s">
        <v>805</v>
      </c>
    </row>
    <row r="36" customFormat="false" ht="11.25" hidden="false" customHeight="true" outlineLevel="0" collapsed="false">
      <c r="A36" s="55" t="s">
        <v>2243</v>
      </c>
      <c r="B36" s="55" t="s">
        <v>16</v>
      </c>
      <c r="C36" s="55" t="s">
        <v>2380</v>
      </c>
      <c r="D36" s="55" t="s">
        <v>2381</v>
      </c>
      <c r="E36" s="55" t="s">
        <v>2260</v>
      </c>
      <c r="F36" s="55" t="s">
        <v>2382</v>
      </c>
      <c r="G36" s="55" t="s">
        <v>2383</v>
      </c>
      <c r="I36" s="55" t="s">
        <v>805</v>
      </c>
    </row>
    <row r="37" customFormat="false" ht="11.25" hidden="false" customHeight="true" outlineLevel="0" collapsed="false">
      <c r="A37" s="55" t="s">
        <v>2243</v>
      </c>
      <c r="B37" s="55" t="s">
        <v>16</v>
      </c>
      <c r="C37" s="55" t="s">
        <v>2384</v>
      </c>
      <c r="D37" s="55" t="s">
        <v>2385</v>
      </c>
      <c r="E37" s="55" t="s">
        <v>2386</v>
      </c>
      <c r="F37" s="55" t="s">
        <v>2387</v>
      </c>
      <c r="G37" s="55" t="s">
        <v>2388</v>
      </c>
      <c r="I37" s="55" t="s">
        <v>805</v>
      </c>
    </row>
    <row r="38" customFormat="false" ht="11.25" hidden="false" customHeight="true" outlineLevel="0" collapsed="false">
      <c r="A38" s="55" t="s">
        <v>2243</v>
      </c>
      <c r="B38" s="55" t="s">
        <v>16</v>
      </c>
      <c r="C38" s="55" t="s">
        <v>2389</v>
      </c>
      <c r="D38" s="55" t="s">
        <v>2390</v>
      </c>
      <c r="E38" s="55" t="s">
        <v>2391</v>
      </c>
      <c r="F38" s="55" t="s">
        <v>2387</v>
      </c>
      <c r="G38" s="55" t="s">
        <v>2392</v>
      </c>
      <c r="I38" s="55" t="s">
        <v>805</v>
      </c>
    </row>
    <row r="39" customFormat="false" ht="11.25" hidden="false" customHeight="true" outlineLevel="0" collapsed="false">
      <c r="A39" s="55" t="s">
        <v>2243</v>
      </c>
      <c r="B39" s="55" t="s">
        <v>16</v>
      </c>
      <c r="C39" s="55" t="s">
        <v>2393</v>
      </c>
      <c r="D39" s="55" t="s">
        <v>2394</v>
      </c>
      <c r="E39" s="55" t="s">
        <v>2395</v>
      </c>
      <c r="F39" s="55" t="s">
        <v>2396</v>
      </c>
      <c r="I39" s="55" t="s">
        <v>805</v>
      </c>
    </row>
    <row r="40" customFormat="false" ht="11.25" hidden="false" customHeight="true" outlineLevel="0" collapsed="false">
      <c r="A40" s="55" t="s">
        <v>2243</v>
      </c>
      <c r="B40" s="55" t="s">
        <v>16</v>
      </c>
      <c r="C40" s="55" t="s">
        <v>2397</v>
      </c>
      <c r="D40" s="55" t="s">
        <v>2398</v>
      </c>
      <c r="E40" s="55" t="s">
        <v>2399</v>
      </c>
      <c r="F40" s="55" t="s">
        <v>2247</v>
      </c>
      <c r="I40" s="55" t="s">
        <v>805</v>
      </c>
    </row>
    <row r="41" customFormat="false" ht="11.25" hidden="false" customHeight="true" outlineLevel="0" collapsed="false">
      <c r="A41" s="55" t="s">
        <v>2243</v>
      </c>
      <c r="B41" s="55" t="s">
        <v>16</v>
      </c>
      <c r="C41" s="55" t="s">
        <v>2400</v>
      </c>
      <c r="D41" s="55" t="s">
        <v>2401</v>
      </c>
      <c r="E41" s="55" t="s">
        <v>2402</v>
      </c>
      <c r="F41" s="55" t="s">
        <v>2247</v>
      </c>
      <c r="I41" s="55" t="s">
        <v>805</v>
      </c>
    </row>
    <row r="42" customFormat="false" ht="11.25" hidden="false" customHeight="true" outlineLevel="0" collapsed="false">
      <c r="A42" s="55" t="s">
        <v>2243</v>
      </c>
      <c r="B42" s="55" t="s">
        <v>16</v>
      </c>
      <c r="C42" s="55" t="s">
        <v>2403</v>
      </c>
      <c r="D42" s="55" t="s">
        <v>2404</v>
      </c>
      <c r="E42" s="55" t="s">
        <v>2405</v>
      </c>
      <c r="F42" s="55" t="s">
        <v>2387</v>
      </c>
      <c r="I42" s="55" t="s">
        <v>805</v>
      </c>
    </row>
    <row r="43" customFormat="false" ht="11.25" hidden="false" customHeight="true" outlineLevel="0" collapsed="false">
      <c r="A43" s="55" t="s">
        <v>2243</v>
      </c>
      <c r="B43" s="55" t="s">
        <v>16</v>
      </c>
      <c r="C43" s="55" t="s">
        <v>2406</v>
      </c>
      <c r="D43" s="55" t="s">
        <v>2407</v>
      </c>
      <c r="E43" s="55" t="s">
        <v>2408</v>
      </c>
      <c r="F43" s="55" t="s">
        <v>2409</v>
      </c>
      <c r="I43" s="55" t="s">
        <v>805</v>
      </c>
    </row>
    <row r="44" customFormat="false" ht="11.25" hidden="false" customHeight="true" outlineLevel="0" collapsed="false">
      <c r="A44" s="55" t="s">
        <v>2243</v>
      </c>
      <c r="B44" s="55" t="s">
        <v>16</v>
      </c>
      <c r="C44" s="55" t="s">
        <v>2410</v>
      </c>
      <c r="D44" s="55" t="s">
        <v>2411</v>
      </c>
      <c r="E44" s="55" t="s">
        <v>2412</v>
      </c>
      <c r="F44" s="55" t="s">
        <v>2371</v>
      </c>
      <c r="G44" s="55" t="s">
        <v>2413</v>
      </c>
      <c r="I44" s="55" t="s">
        <v>805</v>
      </c>
    </row>
    <row r="45" customFormat="false" ht="11.25" hidden="false" customHeight="true" outlineLevel="0" collapsed="false">
      <c r="A45" s="55" t="s">
        <v>2243</v>
      </c>
      <c r="B45" s="55" t="s">
        <v>16</v>
      </c>
      <c r="C45" s="55" t="s">
        <v>2414</v>
      </c>
      <c r="D45" s="55" t="s">
        <v>2415</v>
      </c>
      <c r="E45" s="55" t="s">
        <v>2412</v>
      </c>
      <c r="F45" s="55" t="s">
        <v>2416</v>
      </c>
      <c r="I45" s="55" t="s">
        <v>805</v>
      </c>
    </row>
    <row r="46" customFormat="false" ht="11.25" hidden="false" customHeight="true" outlineLevel="0" collapsed="false">
      <c r="A46" s="55" t="s">
        <v>2243</v>
      </c>
      <c r="B46" s="55" t="s">
        <v>16</v>
      </c>
      <c r="C46" s="55" t="s">
        <v>2417</v>
      </c>
      <c r="D46" s="55" t="s">
        <v>2418</v>
      </c>
      <c r="E46" s="55" t="s">
        <v>2412</v>
      </c>
      <c r="F46" s="55" t="s">
        <v>2419</v>
      </c>
      <c r="I46" s="55" t="s">
        <v>805</v>
      </c>
    </row>
    <row r="47" customFormat="false" ht="11.25" hidden="false" customHeight="true" outlineLevel="0" collapsed="false">
      <c r="A47" s="55" t="s">
        <v>2243</v>
      </c>
      <c r="B47" s="55" t="s">
        <v>16</v>
      </c>
      <c r="C47" s="55" t="s">
        <v>2420</v>
      </c>
      <c r="D47" s="55" t="s">
        <v>2421</v>
      </c>
      <c r="E47" s="55" t="s">
        <v>2412</v>
      </c>
      <c r="F47" s="55" t="s">
        <v>2422</v>
      </c>
      <c r="I47" s="55" t="s">
        <v>805</v>
      </c>
    </row>
    <row r="48" customFormat="false" ht="11.25" hidden="false" customHeight="true" outlineLevel="0" collapsed="false">
      <c r="A48" s="55" t="s">
        <v>2243</v>
      </c>
      <c r="B48" s="55" t="s">
        <v>16</v>
      </c>
      <c r="C48" s="55" t="s">
        <v>2423</v>
      </c>
      <c r="D48" s="55" t="s">
        <v>2424</v>
      </c>
      <c r="E48" s="55" t="s">
        <v>2412</v>
      </c>
      <c r="F48" s="55" t="s">
        <v>2425</v>
      </c>
      <c r="I48" s="55" t="s">
        <v>805</v>
      </c>
    </row>
    <row r="49" customFormat="false" ht="11.25" hidden="false" customHeight="true" outlineLevel="0" collapsed="false">
      <c r="A49" s="55" t="s">
        <v>2243</v>
      </c>
      <c r="B49" s="55" t="s">
        <v>16</v>
      </c>
      <c r="C49" s="55" t="s">
        <v>2426</v>
      </c>
      <c r="D49" s="55" t="s">
        <v>2427</v>
      </c>
      <c r="E49" s="55" t="s">
        <v>2412</v>
      </c>
      <c r="F49" s="55" t="s">
        <v>2428</v>
      </c>
      <c r="I49" s="55" t="s">
        <v>805</v>
      </c>
    </row>
    <row r="50" customFormat="false" ht="11.25" hidden="false" customHeight="true" outlineLevel="0" collapsed="false">
      <c r="A50" s="55" t="s">
        <v>2243</v>
      </c>
      <c r="B50" s="55" t="s">
        <v>16</v>
      </c>
      <c r="C50" s="55" t="s">
        <v>2429</v>
      </c>
      <c r="D50" s="55" t="s">
        <v>2430</v>
      </c>
      <c r="E50" s="55" t="s">
        <v>2412</v>
      </c>
      <c r="F50" s="55" t="s">
        <v>2431</v>
      </c>
      <c r="I50" s="55" t="s">
        <v>805</v>
      </c>
    </row>
    <row r="51" customFormat="false" ht="11.25" hidden="false" customHeight="true" outlineLevel="0" collapsed="false">
      <c r="A51" s="55" t="s">
        <v>2243</v>
      </c>
      <c r="B51" s="55" t="s">
        <v>16</v>
      </c>
      <c r="C51" s="55" t="s">
        <v>2432</v>
      </c>
      <c r="D51" s="55" t="s">
        <v>2433</v>
      </c>
      <c r="E51" s="55" t="s">
        <v>2412</v>
      </c>
      <c r="F51" s="55" t="s">
        <v>2434</v>
      </c>
      <c r="I51" s="55" t="s">
        <v>805</v>
      </c>
    </row>
    <row r="52" customFormat="false" ht="11.25" hidden="false" customHeight="true" outlineLevel="0" collapsed="false">
      <c r="A52" s="55" t="s">
        <v>2243</v>
      </c>
      <c r="B52" s="55" t="s">
        <v>16</v>
      </c>
      <c r="C52" s="55" t="s">
        <v>2435</v>
      </c>
      <c r="D52" s="55" t="s">
        <v>2436</v>
      </c>
      <c r="E52" s="55" t="s">
        <v>2412</v>
      </c>
      <c r="F52" s="55" t="s">
        <v>2437</v>
      </c>
      <c r="I52" s="55" t="s">
        <v>805</v>
      </c>
    </row>
    <row r="53" customFormat="false" ht="11.25" hidden="false" customHeight="true" outlineLevel="0" collapsed="false">
      <c r="A53" s="55" t="s">
        <v>2243</v>
      </c>
      <c r="B53" s="55" t="s">
        <v>16</v>
      </c>
      <c r="C53" s="55" t="s">
        <v>2438</v>
      </c>
      <c r="D53" s="55" t="s">
        <v>2439</v>
      </c>
      <c r="E53" s="55" t="s">
        <v>2412</v>
      </c>
      <c r="F53" s="55" t="s">
        <v>2440</v>
      </c>
      <c r="I53" s="55" t="s">
        <v>805</v>
      </c>
    </row>
    <row r="54" customFormat="false" ht="11.25" hidden="false" customHeight="true" outlineLevel="0" collapsed="false">
      <c r="A54" s="55" t="s">
        <v>2243</v>
      </c>
      <c r="B54" s="55" t="s">
        <v>16</v>
      </c>
      <c r="C54" s="55" t="s">
        <v>2441</v>
      </c>
      <c r="D54" s="55" t="s">
        <v>2442</v>
      </c>
      <c r="E54" s="55" t="s">
        <v>2412</v>
      </c>
      <c r="F54" s="55" t="s">
        <v>2443</v>
      </c>
      <c r="I54" s="55" t="s">
        <v>805</v>
      </c>
    </row>
    <row r="55" customFormat="false" ht="11.25" hidden="false" customHeight="true" outlineLevel="0" collapsed="false">
      <c r="A55" s="55" t="s">
        <v>2243</v>
      </c>
      <c r="B55" s="55" t="s">
        <v>16</v>
      </c>
      <c r="C55" s="55" t="s">
        <v>2444</v>
      </c>
      <c r="D55" s="55" t="s">
        <v>2445</v>
      </c>
      <c r="E55" s="55" t="s">
        <v>2412</v>
      </c>
      <c r="F55" s="55" t="s">
        <v>2446</v>
      </c>
      <c r="I55" s="55" t="s">
        <v>805</v>
      </c>
    </row>
    <row r="56" customFormat="false" ht="11.25" hidden="false" customHeight="true" outlineLevel="0" collapsed="false">
      <c r="A56" s="55" t="s">
        <v>2243</v>
      </c>
      <c r="B56" s="55" t="s">
        <v>16</v>
      </c>
      <c r="C56" s="55" t="s">
        <v>2447</v>
      </c>
      <c r="D56" s="55" t="s">
        <v>2448</v>
      </c>
      <c r="E56" s="55" t="s">
        <v>2412</v>
      </c>
      <c r="F56" s="55" t="s">
        <v>2449</v>
      </c>
      <c r="I56" s="55" t="s">
        <v>805</v>
      </c>
    </row>
    <row r="57" customFormat="false" ht="11.25" hidden="false" customHeight="true" outlineLevel="0" collapsed="false">
      <c r="A57" s="55" t="s">
        <v>2243</v>
      </c>
      <c r="B57" s="55" t="s">
        <v>16</v>
      </c>
      <c r="C57" s="55" t="s">
        <v>2450</v>
      </c>
      <c r="D57" s="55" t="s">
        <v>2451</v>
      </c>
      <c r="E57" s="55" t="s">
        <v>2412</v>
      </c>
      <c r="F57" s="55" t="s">
        <v>2452</v>
      </c>
      <c r="I57" s="55" t="s">
        <v>805</v>
      </c>
    </row>
    <row r="58" customFormat="false" ht="11.25" hidden="false" customHeight="true" outlineLevel="0" collapsed="false">
      <c r="A58" s="55" t="s">
        <v>2243</v>
      </c>
      <c r="B58" s="55" t="s">
        <v>16</v>
      </c>
      <c r="C58" s="55" t="s">
        <v>2453</v>
      </c>
      <c r="D58" s="55" t="s">
        <v>2454</v>
      </c>
      <c r="E58" s="55" t="s">
        <v>2455</v>
      </c>
      <c r="F58" s="55" t="s">
        <v>2309</v>
      </c>
      <c r="G58" s="55" t="s">
        <v>2456</v>
      </c>
      <c r="I58" s="55" t="s">
        <v>805</v>
      </c>
    </row>
    <row r="59" customFormat="false" ht="11.25" hidden="false" customHeight="true" outlineLevel="0" collapsed="false">
      <c r="A59" s="55" t="s">
        <v>2243</v>
      </c>
      <c r="B59" s="55" t="s">
        <v>16</v>
      </c>
      <c r="C59" s="55" t="s">
        <v>2457</v>
      </c>
      <c r="D59" s="55" t="s">
        <v>2458</v>
      </c>
      <c r="E59" s="55" t="s">
        <v>2459</v>
      </c>
      <c r="F59" s="55" t="s">
        <v>2247</v>
      </c>
      <c r="G59" s="55" t="s">
        <v>2334</v>
      </c>
      <c r="I59" s="55" t="s">
        <v>805</v>
      </c>
    </row>
    <row r="60" customFormat="false" ht="11.25" hidden="false" customHeight="true" outlineLevel="0" collapsed="false">
      <c r="A60" s="55" t="s">
        <v>2243</v>
      </c>
      <c r="B60" s="55" t="s">
        <v>16</v>
      </c>
      <c r="C60" s="55" t="s">
        <v>2460</v>
      </c>
      <c r="D60" s="55" t="s">
        <v>2461</v>
      </c>
      <c r="E60" s="55" t="s">
        <v>2462</v>
      </c>
      <c r="F60" s="55" t="s">
        <v>2247</v>
      </c>
      <c r="I60" s="55" t="s">
        <v>805</v>
      </c>
    </row>
    <row r="61" customFormat="false" ht="11.25" hidden="false" customHeight="true" outlineLevel="0" collapsed="false">
      <c r="A61" s="55" t="s">
        <v>2243</v>
      </c>
      <c r="B61" s="55" t="s">
        <v>16</v>
      </c>
      <c r="C61" s="55" t="s">
        <v>2463</v>
      </c>
      <c r="D61" s="55" t="s">
        <v>2464</v>
      </c>
      <c r="E61" s="55" t="s">
        <v>2465</v>
      </c>
      <c r="F61" s="55" t="s">
        <v>2309</v>
      </c>
      <c r="G61" s="55" t="s">
        <v>2466</v>
      </c>
      <c r="I61" s="55" t="s">
        <v>805</v>
      </c>
    </row>
    <row r="62" customFormat="false" ht="11.25" hidden="false" customHeight="true" outlineLevel="0" collapsed="false">
      <c r="A62" s="55" t="s">
        <v>2243</v>
      </c>
      <c r="B62" s="55" t="s">
        <v>16</v>
      </c>
      <c r="C62" s="55" t="s">
        <v>2467</v>
      </c>
      <c r="D62" s="55" t="s">
        <v>2468</v>
      </c>
      <c r="E62" s="55" t="s">
        <v>2469</v>
      </c>
      <c r="F62" s="55" t="s">
        <v>2470</v>
      </c>
      <c r="I62" s="55" t="s">
        <v>805</v>
      </c>
    </row>
    <row r="63" customFormat="false" ht="11.25" hidden="false" customHeight="true" outlineLevel="0" collapsed="false">
      <c r="A63" s="55" t="s">
        <v>2243</v>
      </c>
      <c r="B63" s="55" t="s">
        <v>16</v>
      </c>
      <c r="C63" s="55" t="s">
        <v>2471</v>
      </c>
      <c r="D63" s="55" t="s">
        <v>2472</v>
      </c>
      <c r="E63" s="55" t="s">
        <v>2469</v>
      </c>
      <c r="F63" s="55" t="s">
        <v>2449</v>
      </c>
      <c r="I63" s="55" t="s">
        <v>805</v>
      </c>
    </row>
    <row r="64" customFormat="false" ht="11.25" hidden="false" customHeight="true" outlineLevel="0" collapsed="false">
      <c r="A64" s="55" t="s">
        <v>2243</v>
      </c>
      <c r="B64" s="55" t="s">
        <v>16</v>
      </c>
      <c r="C64" s="55" t="s">
        <v>2473</v>
      </c>
      <c r="D64" s="55" t="s">
        <v>2474</v>
      </c>
      <c r="E64" s="55" t="s">
        <v>2469</v>
      </c>
      <c r="F64" s="55" t="s">
        <v>2475</v>
      </c>
      <c r="I64" s="55" t="s">
        <v>805</v>
      </c>
    </row>
    <row r="65" customFormat="false" ht="11.25" hidden="false" customHeight="true" outlineLevel="0" collapsed="false">
      <c r="A65" s="55" t="s">
        <v>2243</v>
      </c>
      <c r="B65" s="55" t="s">
        <v>16</v>
      </c>
      <c r="C65" s="55" t="s">
        <v>2476</v>
      </c>
      <c r="D65" s="55" t="s">
        <v>2477</v>
      </c>
      <c r="E65" s="55" t="s">
        <v>2469</v>
      </c>
      <c r="F65" s="55" t="s">
        <v>2478</v>
      </c>
      <c r="I65" s="55" t="s">
        <v>805</v>
      </c>
    </row>
    <row r="66" customFormat="false" ht="11.25" hidden="false" customHeight="true" outlineLevel="0" collapsed="false">
      <c r="A66" s="55" t="s">
        <v>2243</v>
      </c>
      <c r="B66" s="55" t="s">
        <v>16</v>
      </c>
      <c r="C66" s="55" t="s">
        <v>2479</v>
      </c>
      <c r="D66" s="55" t="s">
        <v>2480</v>
      </c>
      <c r="E66" s="55" t="s">
        <v>2469</v>
      </c>
      <c r="F66" s="55" t="s">
        <v>2481</v>
      </c>
      <c r="I66" s="55" t="s">
        <v>805</v>
      </c>
    </row>
    <row r="67" customFormat="false" ht="11.25" hidden="false" customHeight="true" outlineLevel="0" collapsed="false">
      <c r="A67" s="55" t="s">
        <v>2243</v>
      </c>
      <c r="B67" s="55" t="s">
        <v>16</v>
      </c>
      <c r="C67" s="55" t="s">
        <v>2482</v>
      </c>
      <c r="D67" s="55" t="s">
        <v>2483</v>
      </c>
      <c r="E67" s="55" t="s">
        <v>2469</v>
      </c>
      <c r="F67" s="55" t="s">
        <v>2484</v>
      </c>
      <c r="I67" s="55" t="s">
        <v>805</v>
      </c>
    </row>
    <row r="68" customFormat="false" ht="11.25" hidden="false" customHeight="true" outlineLevel="0" collapsed="false">
      <c r="A68" s="55" t="s">
        <v>2243</v>
      </c>
      <c r="B68" s="55" t="s">
        <v>16</v>
      </c>
      <c r="C68" s="55" t="s">
        <v>2485</v>
      </c>
      <c r="D68" s="55" t="s">
        <v>2486</v>
      </c>
      <c r="E68" s="55" t="s">
        <v>2469</v>
      </c>
      <c r="F68" s="55" t="s">
        <v>2487</v>
      </c>
      <c r="I68" s="55" t="s">
        <v>805</v>
      </c>
    </row>
    <row r="69" customFormat="false" ht="11.25" hidden="false" customHeight="true" outlineLevel="0" collapsed="false">
      <c r="A69" s="55" t="s">
        <v>2243</v>
      </c>
      <c r="B69" s="55" t="s">
        <v>16</v>
      </c>
      <c r="C69" s="55" t="s">
        <v>2488</v>
      </c>
      <c r="D69" s="55" t="s">
        <v>2489</v>
      </c>
      <c r="E69" s="55" t="s">
        <v>2469</v>
      </c>
      <c r="F69" s="55" t="s">
        <v>2490</v>
      </c>
      <c r="I69" s="55" t="s">
        <v>805</v>
      </c>
    </row>
    <row r="70" customFormat="false" ht="11.25" hidden="false" customHeight="true" outlineLevel="0" collapsed="false">
      <c r="A70" s="55" t="s">
        <v>2243</v>
      </c>
      <c r="B70" s="55" t="s">
        <v>16</v>
      </c>
      <c r="C70" s="55" t="s">
        <v>2491</v>
      </c>
      <c r="D70" s="55" t="s">
        <v>2492</v>
      </c>
      <c r="E70" s="55" t="s">
        <v>2469</v>
      </c>
      <c r="F70" s="55" t="s">
        <v>2493</v>
      </c>
      <c r="I70" s="55" t="s">
        <v>805</v>
      </c>
    </row>
    <row r="71" customFormat="false" ht="11.25" hidden="false" customHeight="true" outlineLevel="0" collapsed="false">
      <c r="A71" s="55" t="s">
        <v>2243</v>
      </c>
      <c r="B71" s="55" t="s">
        <v>16</v>
      </c>
      <c r="C71" s="55" t="s">
        <v>2494</v>
      </c>
      <c r="D71" s="55" t="s">
        <v>2495</v>
      </c>
      <c r="E71" s="55" t="s">
        <v>2469</v>
      </c>
      <c r="F71" s="55" t="s">
        <v>2496</v>
      </c>
      <c r="I71" s="55" t="s">
        <v>805</v>
      </c>
    </row>
    <row r="72" customFormat="false" ht="11.25" hidden="false" customHeight="true" outlineLevel="0" collapsed="false">
      <c r="A72" s="55" t="s">
        <v>2243</v>
      </c>
      <c r="B72" s="55" t="s">
        <v>16</v>
      </c>
      <c r="C72" s="55" t="s">
        <v>2497</v>
      </c>
      <c r="D72" s="55" t="s">
        <v>2498</v>
      </c>
      <c r="E72" s="55" t="s">
        <v>2469</v>
      </c>
      <c r="F72" s="55" t="s">
        <v>2499</v>
      </c>
      <c r="I72" s="55" t="s">
        <v>805</v>
      </c>
    </row>
    <row r="73" customFormat="false" ht="11.25" hidden="false" customHeight="true" outlineLevel="0" collapsed="false">
      <c r="A73" s="55" t="s">
        <v>2243</v>
      </c>
      <c r="B73" s="55" t="s">
        <v>16</v>
      </c>
      <c r="C73" s="55" t="s">
        <v>2500</v>
      </c>
      <c r="D73" s="55" t="s">
        <v>2501</v>
      </c>
      <c r="E73" s="55" t="s">
        <v>2469</v>
      </c>
      <c r="F73" s="55" t="s">
        <v>2502</v>
      </c>
      <c r="I73" s="55" t="s">
        <v>805</v>
      </c>
    </row>
    <row r="74" customFormat="false" ht="11.25" hidden="false" customHeight="true" outlineLevel="0" collapsed="false">
      <c r="A74" s="55" t="s">
        <v>2243</v>
      </c>
      <c r="B74" s="55" t="s">
        <v>16</v>
      </c>
      <c r="C74" s="55" t="s">
        <v>2503</v>
      </c>
      <c r="D74" s="55" t="s">
        <v>2504</v>
      </c>
      <c r="E74" s="55" t="s">
        <v>2469</v>
      </c>
      <c r="F74" s="55" t="s">
        <v>2505</v>
      </c>
      <c r="I74" s="55" t="s">
        <v>805</v>
      </c>
    </row>
    <row r="75" customFormat="false" ht="11.25" hidden="false" customHeight="true" outlineLevel="0" collapsed="false">
      <c r="A75" s="55" t="s">
        <v>2243</v>
      </c>
      <c r="B75" s="55" t="s">
        <v>16</v>
      </c>
      <c r="C75" s="55" t="s">
        <v>2506</v>
      </c>
      <c r="D75" s="55" t="s">
        <v>2507</v>
      </c>
      <c r="E75" s="55" t="s">
        <v>2469</v>
      </c>
      <c r="F75" s="55" t="s">
        <v>2508</v>
      </c>
      <c r="I75" s="55" t="s">
        <v>805</v>
      </c>
    </row>
    <row r="76" customFormat="false" ht="11.25" hidden="false" customHeight="true" outlineLevel="0" collapsed="false">
      <c r="A76" s="55" t="s">
        <v>2243</v>
      </c>
      <c r="B76" s="55" t="s">
        <v>16</v>
      </c>
      <c r="C76" s="55" t="s">
        <v>2509</v>
      </c>
      <c r="D76" s="55" t="s">
        <v>2510</v>
      </c>
      <c r="E76" s="55" t="s">
        <v>2469</v>
      </c>
      <c r="F76" s="55" t="s">
        <v>2511</v>
      </c>
      <c r="I76" s="55" t="s">
        <v>805</v>
      </c>
    </row>
    <row r="77" customFormat="false" ht="11.25" hidden="false" customHeight="true" outlineLevel="0" collapsed="false">
      <c r="A77" s="55" t="s">
        <v>2243</v>
      </c>
      <c r="B77" s="55" t="s">
        <v>16</v>
      </c>
      <c r="C77" s="55" t="s">
        <v>2512</v>
      </c>
      <c r="D77" s="55" t="s">
        <v>2513</v>
      </c>
      <c r="E77" s="55" t="s">
        <v>2469</v>
      </c>
      <c r="F77" s="55" t="s">
        <v>2514</v>
      </c>
      <c r="I77" s="55" t="s">
        <v>805</v>
      </c>
    </row>
    <row r="78" customFormat="false" ht="11.25" hidden="false" customHeight="true" outlineLevel="0" collapsed="false">
      <c r="A78" s="55" t="s">
        <v>2243</v>
      </c>
      <c r="B78" s="55" t="s">
        <v>16</v>
      </c>
      <c r="C78" s="55" t="s">
        <v>2515</v>
      </c>
      <c r="D78" s="55" t="s">
        <v>2516</v>
      </c>
      <c r="E78" s="55" t="s">
        <v>2469</v>
      </c>
      <c r="F78" s="55" t="s">
        <v>2517</v>
      </c>
      <c r="I78" s="55" t="s">
        <v>805</v>
      </c>
    </row>
    <row r="79" customFormat="false" ht="11.25" hidden="false" customHeight="true" outlineLevel="0" collapsed="false">
      <c r="A79" s="55" t="s">
        <v>2243</v>
      </c>
      <c r="B79" s="55" t="s">
        <v>16</v>
      </c>
      <c r="C79" s="55" t="s">
        <v>2518</v>
      </c>
      <c r="D79" s="55" t="s">
        <v>2519</v>
      </c>
      <c r="E79" s="55" t="s">
        <v>2305</v>
      </c>
      <c r="F79" s="55" t="s">
        <v>2520</v>
      </c>
      <c r="I79" s="55" t="s">
        <v>805</v>
      </c>
    </row>
    <row r="80" customFormat="false" ht="11.25" hidden="false" customHeight="true" outlineLevel="0" collapsed="false">
      <c r="A80" s="55" t="s">
        <v>2243</v>
      </c>
      <c r="B80" s="55" t="s">
        <v>16</v>
      </c>
      <c r="C80" s="55" t="s">
        <v>2521</v>
      </c>
      <c r="D80" s="55" t="s">
        <v>2522</v>
      </c>
      <c r="E80" s="55" t="s">
        <v>2523</v>
      </c>
      <c r="F80" s="55" t="s">
        <v>2524</v>
      </c>
      <c r="I80" s="55" t="s">
        <v>805</v>
      </c>
    </row>
    <row r="81" customFormat="false" ht="11.25" hidden="false" customHeight="true" outlineLevel="0" collapsed="false">
      <c r="A81" s="55" t="s">
        <v>2243</v>
      </c>
      <c r="B81" s="55" t="s">
        <v>16</v>
      </c>
      <c r="C81" s="55" t="s">
        <v>2525</v>
      </c>
      <c r="D81" s="55" t="s">
        <v>2526</v>
      </c>
      <c r="E81" s="55" t="s">
        <v>2527</v>
      </c>
      <c r="F81" s="55" t="s">
        <v>2528</v>
      </c>
      <c r="I81" s="55" t="s">
        <v>805</v>
      </c>
    </row>
    <row r="82" customFormat="false" ht="11.25" hidden="false" customHeight="true" outlineLevel="0" collapsed="false">
      <c r="A82" s="55" t="s">
        <v>2243</v>
      </c>
      <c r="B82" s="55" t="s">
        <v>16</v>
      </c>
      <c r="C82" s="55" t="s">
        <v>2529</v>
      </c>
      <c r="D82" s="55" t="s">
        <v>2530</v>
      </c>
      <c r="E82" s="55" t="s">
        <v>2531</v>
      </c>
      <c r="F82" s="55" t="s">
        <v>2291</v>
      </c>
      <c r="I82" s="55" t="s">
        <v>805</v>
      </c>
    </row>
    <row r="83" customFormat="false" ht="11.25" hidden="false" customHeight="true" outlineLevel="0" collapsed="false">
      <c r="A83" s="55" t="s">
        <v>2243</v>
      </c>
      <c r="B83" s="55" t="s">
        <v>16</v>
      </c>
      <c r="C83" s="55" t="s">
        <v>2532</v>
      </c>
      <c r="D83" s="55" t="s">
        <v>2533</v>
      </c>
      <c r="E83" s="55" t="s">
        <v>2534</v>
      </c>
      <c r="F83" s="55" t="s">
        <v>2470</v>
      </c>
      <c r="I83" s="55" t="s">
        <v>805</v>
      </c>
    </row>
    <row r="84" customFormat="false" ht="11.25" hidden="false" customHeight="true" outlineLevel="0" collapsed="false">
      <c r="A84" s="55" t="s">
        <v>2243</v>
      </c>
      <c r="B84" s="55" t="s">
        <v>16</v>
      </c>
      <c r="C84" s="55" t="s">
        <v>2535</v>
      </c>
      <c r="D84" s="55" t="s">
        <v>2536</v>
      </c>
      <c r="E84" s="55" t="s">
        <v>2537</v>
      </c>
      <c r="F84" s="55" t="s">
        <v>2371</v>
      </c>
      <c r="I84" s="55" t="s">
        <v>805</v>
      </c>
    </row>
    <row r="85" customFormat="false" ht="11.25" hidden="false" customHeight="true" outlineLevel="0" collapsed="false">
      <c r="A85" s="55" t="s">
        <v>2243</v>
      </c>
      <c r="B85" s="55" t="s">
        <v>16</v>
      </c>
      <c r="C85" s="55" t="s">
        <v>2538</v>
      </c>
      <c r="D85" s="55" t="s">
        <v>2539</v>
      </c>
      <c r="E85" s="55" t="s">
        <v>2540</v>
      </c>
      <c r="F85" s="55" t="s">
        <v>2318</v>
      </c>
      <c r="I85" s="55" t="s">
        <v>805</v>
      </c>
    </row>
    <row r="86" customFormat="false" ht="11.25" hidden="false" customHeight="true" outlineLevel="0" collapsed="false">
      <c r="A86" s="55" t="s">
        <v>2243</v>
      </c>
      <c r="B86" s="55" t="s">
        <v>16</v>
      </c>
      <c r="C86" s="55" t="s">
        <v>2541</v>
      </c>
      <c r="D86" s="55" t="s">
        <v>2542</v>
      </c>
      <c r="E86" s="55" t="s">
        <v>2543</v>
      </c>
      <c r="F86" s="55" t="s">
        <v>2544</v>
      </c>
      <c r="I86" s="55" t="s">
        <v>805</v>
      </c>
    </row>
    <row r="87" customFormat="false" ht="11.25" hidden="false" customHeight="true" outlineLevel="0" collapsed="false">
      <c r="A87" s="55" t="s">
        <v>2243</v>
      </c>
      <c r="B87" s="55" t="s">
        <v>16</v>
      </c>
      <c r="C87" s="55" t="s">
        <v>2545</v>
      </c>
      <c r="D87" s="55" t="s">
        <v>2546</v>
      </c>
      <c r="E87" s="55" t="s">
        <v>2547</v>
      </c>
      <c r="F87" s="55" t="s">
        <v>2318</v>
      </c>
      <c r="G87" s="55" t="s">
        <v>2548</v>
      </c>
      <c r="I87" s="55" t="s">
        <v>805</v>
      </c>
    </row>
    <row r="88" customFormat="false" ht="11.25" hidden="false" customHeight="true" outlineLevel="0" collapsed="false">
      <c r="A88" s="55" t="s">
        <v>2243</v>
      </c>
      <c r="B88" s="55" t="s">
        <v>16</v>
      </c>
      <c r="C88" s="55" t="s">
        <v>2549</v>
      </c>
      <c r="D88" s="55" t="s">
        <v>2550</v>
      </c>
      <c r="E88" s="55" t="s">
        <v>2551</v>
      </c>
      <c r="F88" s="55" t="s">
        <v>2301</v>
      </c>
      <c r="I88" s="55" t="s">
        <v>805</v>
      </c>
    </row>
    <row r="89" customFormat="false" ht="11.25" hidden="false" customHeight="true" outlineLevel="0" collapsed="false">
      <c r="A89" s="55" t="s">
        <v>2243</v>
      </c>
      <c r="B89" s="55" t="s">
        <v>16</v>
      </c>
      <c r="C89" s="55" t="s">
        <v>2552</v>
      </c>
      <c r="D89" s="55" t="s">
        <v>2553</v>
      </c>
      <c r="E89" s="55" t="s">
        <v>2554</v>
      </c>
      <c r="F89" s="55" t="s">
        <v>2247</v>
      </c>
      <c r="I89" s="55" t="s">
        <v>805</v>
      </c>
    </row>
    <row r="90" customFormat="false" ht="11.25" hidden="false" customHeight="true" outlineLevel="0" collapsed="false">
      <c r="A90" s="55" t="s">
        <v>2243</v>
      </c>
      <c r="B90" s="55" t="s">
        <v>16</v>
      </c>
      <c r="C90" s="55" t="s">
        <v>2555</v>
      </c>
      <c r="D90" s="55" t="s">
        <v>2556</v>
      </c>
      <c r="E90" s="55" t="s">
        <v>2557</v>
      </c>
      <c r="F90" s="55" t="s">
        <v>2558</v>
      </c>
      <c r="I90" s="55" t="s">
        <v>805</v>
      </c>
    </row>
    <row r="91" customFormat="false" ht="11.25" hidden="false" customHeight="true" outlineLevel="0" collapsed="false">
      <c r="A91" s="55" t="s">
        <v>2243</v>
      </c>
      <c r="B91" s="55" t="s">
        <v>16</v>
      </c>
      <c r="C91" s="55" t="s">
        <v>2559</v>
      </c>
      <c r="D91" s="55" t="s">
        <v>2560</v>
      </c>
      <c r="E91" s="55" t="s">
        <v>2561</v>
      </c>
      <c r="F91" s="55" t="s">
        <v>2558</v>
      </c>
      <c r="G91" s="55" t="s">
        <v>2562</v>
      </c>
      <c r="I91" s="55" t="s">
        <v>805</v>
      </c>
    </row>
    <row r="92" customFormat="false" ht="11.25" hidden="false" customHeight="true" outlineLevel="0" collapsed="false">
      <c r="A92" s="55" t="s">
        <v>2243</v>
      </c>
      <c r="B92" s="55" t="s">
        <v>16</v>
      </c>
      <c r="C92" s="55" t="s">
        <v>2563</v>
      </c>
      <c r="D92" s="55" t="s">
        <v>2564</v>
      </c>
      <c r="E92" s="55" t="s">
        <v>2565</v>
      </c>
      <c r="F92" s="55" t="s">
        <v>2566</v>
      </c>
      <c r="G92" s="55" t="s">
        <v>2567</v>
      </c>
      <c r="I92" s="55" t="s">
        <v>805</v>
      </c>
    </row>
    <row r="93" customFormat="false" ht="11.25" hidden="false" customHeight="true" outlineLevel="0" collapsed="false">
      <c r="A93" s="55" t="s">
        <v>2243</v>
      </c>
      <c r="B93" s="55" t="s">
        <v>16</v>
      </c>
      <c r="C93" s="55" t="s">
        <v>2568</v>
      </c>
      <c r="D93" s="55" t="s">
        <v>2569</v>
      </c>
      <c r="E93" s="55" t="s">
        <v>2570</v>
      </c>
      <c r="F93" s="55" t="s">
        <v>2318</v>
      </c>
      <c r="G93" s="55" t="s">
        <v>2571</v>
      </c>
      <c r="I93" s="55" t="s">
        <v>805</v>
      </c>
    </row>
    <row r="94" customFormat="false" ht="11.25" hidden="false" customHeight="true" outlineLevel="0" collapsed="false">
      <c r="A94" s="55" t="s">
        <v>2243</v>
      </c>
      <c r="B94" s="55" t="s">
        <v>16</v>
      </c>
      <c r="C94" s="55" t="s">
        <v>2572</v>
      </c>
      <c r="D94" s="55" t="s">
        <v>2573</v>
      </c>
      <c r="E94" s="55" t="s">
        <v>2574</v>
      </c>
      <c r="F94" s="55" t="s">
        <v>2329</v>
      </c>
      <c r="G94" s="55" t="s">
        <v>2575</v>
      </c>
      <c r="I94" s="55" t="s">
        <v>805</v>
      </c>
    </row>
    <row r="95" customFormat="false" ht="11.25" hidden="false" customHeight="true" outlineLevel="0" collapsed="false">
      <c r="A95" s="55" t="s">
        <v>2243</v>
      </c>
      <c r="B95" s="55" t="s">
        <v>16</v>
      </c>
      <c r="C95" s="55" t="s">
        <v>2576</v>
      </c>
      <c r="D95" s="55" t="s">
        <v>2577</v>
      </c>
      <c r="E95" s="55" t="s">
        <v>2578</v>
      </c>
      <c r="F95" s="55" t="s">
        <v>2371</v>
      </c>
      <c r="I95" s="55" t="s">
        <v>805</v>
      </c>
    </row>
    <row r="96" customFormat="false" ht="11.25" hidden="false" customHeight="true" outlineLevel="0" collapsed="false">
      <c r="A96" s="55" t="s">
        <v>2243</v>
      </c>
      <c r="B96" s="55" t="s">
        <v>16</v>
      </c>
      <c r="C96" s="55" t="s">
        <v>2579</v>
      </c>
      <c r="D96" s="55" t="s">
        <v>2580</v>
      </c>
      <c r="E96" s="55" t="s">
        <v>2581</v>
      </c>
      <c r="F96" s="55" t="s">
        <v>2329</v>
      </c>
      <c r="I96" s="55" t="s">
        <v>805</v>
      </c>
    </row>
    <row r="97" customFormat="false" ht="11.25" hidden="false" customHeight="true" outlineLevel="0" collapsed="false">
      <c r="A97" s="55" t="s">
        <v>2243</v>
      </c>
      <c r="B97" s="55" t="s">
        <v>16</v>
      </c>
      <c r="C97" s="55" t="s">
        <v>2582</v>
      </c>
      <c r="D97" s="55" t="s">
        <v>2583</v>
      </c>
      <c r="E97" s="55" t="s">
        <v>2584</v>
      </c>
      <c r="F97" s="55" t="s">
        <v>2291</v>
      </c>
      <c r="I97" s="55" t="s">
        <v>805</v>
      </c>
    </row>
    <row r="98" customFormat="false" ht="11.25" hidden="false" customHeight="true" outlineLevel="0" collapsed="false">
      <c r="A98" s="55" t="s">
        <v>2243</v>
      </c>
      <c r="B98" s="55" t="s">
        <v>16</v>
      </c>
      <c r="C98" s="55" t="s">
        <v>2585</v>
      </c>
      <c r="D98" s="55" t="s">
        <v>2586</v>
      </c>
      <c r="E98" s="55" t="s">
        <v>2587</v>
      </c>
      <c r="F98" s="55" t="s">
        <v>2357</v>
      </c>
      <c r="G98" s="55" t="s">
        <v>2588</v>
      </c>
      <c r="I98" s="55" t="s">
        <v>805</v>
      </c>
    </row>
    <row r="99" customFormat="false" ht="11.25" hidden="false" customHeight="true" outlineLevel="0" collapsed="false">
      <c r="A99" s="55" t="s">
        <v>2243</v>
      </c>
      <c r="B99" s="55" t="s">
        <v>16</v>
      </c>
      <c r="C99" s="55" t="s">
        <v>2589</v>
      </c>
      <c r="D99" s="55" t="s">
        <v>2590</v>
      </c>
      <c r="E99" s="55" t="s">
        <v>2591</v>
      </c>
      <c r="F99" s="55" t="s">
        <v>2247</v>
      </c>
      <c r="I99" s="55" t="s">
        <v>805</v>
      </c>
    </row>
    <row r="100" customFormat="false" ht="11.25" hidden="false" customHeight="true" outlineLevel="0" collapsed="false">
      <c r="A100" s="55" t="s">
        <v>2243</v>
      </c>
      <c r="B100" s="55" t="s">
        <v>16</v>
      </c>
      <c r="C100" s="55" t="s">
        <v>2592</v>
      </c>
      <c r="D100" s="55" t="s">
        <v>2593</v>
      </c>
      <c r="E100" s="55" t="s">
        <v>2594</v>
      </c>
      <c r="F100" s="55" t="s">
        <v>2314</v>
      </c>
      <c r="I100" s="55" t="s">
        <v>805</v>
      </c>
    </row>
    <row r="101" customFormat="false" ht="11.25" hidden="false" customHeight="true" outlineLevel="0" collapsed="false">
      <c r="A101" s="55" t="s">
        <v>2243</v>
      </c>
      <c r="B101" s="55" t="s">
        <v>16</v>
      </c>
      <c r="C101" s="55" t="s">
        <v>2595</v>
      </c>
      <c r="D101" s="55" t="s">
        <v>2596</v>
      </c>
      <c r="E101" s="55" t="s">
        <v>2597</v>
      </c>
      <c r="F101" s="55" t="s">
        <v>2544</v>
      </c>
      <c r="I101" s="55" t="s">
        <v>805</v>
      </c>
    </row>
    <row r="102" customFormat="false" ht="11.25" hidden="false" customHeight="true" outlineLevel="0" collapsed="false">
      <c r="A102" s="55" t="s">
        <v>2243</v>
      </c>
      <c r="B102" s="55" t="s">
        <v>16</v>
      </c>
      <c r="C102" s="55" t="s">
        <v>2598</v>
      </c>
      <c r="D102" s="55" t="s">
        <v>2599</v>
      </c>
      <c r="E102" s="55" t="s">
        <v>2600</v>
      </c>
      <c r="F102" s="55" t="s">
        <v>2314</v>
      </c>
      <c r="I102" s="55" t="s">
        <v>805</v>
      </c>
    </row>
    <row r="103" customFormat="false" ht="11.25" hidden="false" customHeight="true" outlineLevel="0" collapsed="false">
      <c r="A103" s="55" t="s">
        <v>2243</v>
      </c>
      <c r="B103" s="55" t="s">
        <v>16</v>
      </c>
      <c r="C103" s="55" t="s">
        <v>2601</v>
      </c>
      <c r="D103" s="55" t="s">
        <v>2602</v>
      </c>
      <c r="E103" s="55" t="s">
        <v>2603</v>
      </c>
      <c r="F103" s="55" t="s">
        <v>2329</v>
      </c>
      <c r="I103" s="55" t="s">
        <v>805</v>
      </c>
    </row>
    <row r="104" customFormat="false" ht="11.25" hidden="false" customHeight="true" outlineLevel="0" collapsed="false">
      <c r="A104" s="55" t="s">
        <v>2243</v>
      </c>
      <c r="B104" s="55" t="s">
        <v>16</v>
      </c>
      <c r="C104" s="55" t="s">
        <v>2604</v>
      </c>
      <c r="D104" s="55" t="s">
        <v>2605</v>
      </c>
      <c r="E104" s="55" t="s">
        <v>2606</v>
      </c>
      <c r="F104" s="55" t="s">
        <v>2314</v>
      </c>
      <c r="I104" s="55" t="s">
        <v>805</v>
      </c>
    </row>
    <row r="105" customFormat="false" ht="11.25" hidden="false" customHeight="true" outlineLevel="0" collapsed="false">
      <c r="A105" s="55" t="s">
        <v>2243</v>
      </c>
      <c r="B105" s="55" t="s">
        <v>16</v>
      </c>
      <c r="C105" s="55" t="s">
        <v>2607</v>
      </c>
      <c r="D105" s="55" t="s">
        <v>2608</v>
      </c>
      <c r="E105" s="55" t="s">
        <v>2609</v>
      </c>
      <c r="F105" s="55" t="s">
        <v>2610</v>
      </c>
      <c r="G105" s="55" t="s">
        <v>2611</v>
      </c>
      <c r="I105" s="55" t="s">
        <v>805</v>
      </c>
    </row>
    <row r="106" customFormat="false" ht="11.25" hidden="false" customHeight="true" outlineLevel="0" collapsed="false">
      <c r="A106" s="55" t="s">
        <v>2243</v>
      </c>
      <c r="B106" s="55" t="s">
        <v>16</v>
      </c>
      <c r="C106" s="55" t="s">
        <v>2612</v>
      </c>
      <c r="D106" s="55" t="s">
        <v>2613</v>
      </c>
      <c r="E106" s="55" t="s">
        <v>2614</v>
      </c>
      <c r="F106" s="55" t="s">
        <v>2314</v>
      </c>
      <c r="I106" s="55" t="s">
        <v>805</v>
      </c>
    </row>
    <row r="107" customFormat="false" ht="11.25" hidden="false" customHeight="true" outlineLevel="0" collapsed="false">
      <c r="A107" s="55" t="s">
        <v>2243</v>
      </c>
      <c r="B107" s="55" t="s">
        <v>16</v>
      </c>
      <c r="C107" s="55" t="s">
        <v>2615</v>
      </c>
      <c r="D107" s="55" t="s">
        <v>2616</v>
      </c>
      <c r="E107" s="55" t="s">
        <v>2617</v>
      </c>
      <c r="F107" s="55" t="s">
        <v>2618</v>
      </c>
      <c r="I107" s="55" t="s">
        <v>805</v>
      </c>
    </row>
    <row r="108" customFormat="false" ht="11.25" hidden="false" customHeight="true" outlineLevel="0" collapsed="false">
      <c r="A108" s="55" t="s">
        <v>2243</v>
      </c>
      <c r="B108" s="55" t="s">
        <v>16</v>
      </c>
      <c r="C108" s="55" t="s">
        <v>2619</v>
      </c>
      <c r="D108" s="55" t="s">
        <v>2620</v>
      </c>
      <c r="E108" s="55" t="s">
        <v>2617</v>
      </c>
      <c r="F108" s="55" t="s">
        <v>2329</v>
      </c>
      <c r="G108" s="55" t="s">
        <v>2466</v>
      </c>
      <c r="I108" s="55" t="s">
        <v>805</v>
      </c>
    </row>
    <row r="109" customFormat="false" ht="11.25" hidden="false" customHeight="true" outlineLevel="0" collapsed="false">
      <c r="A109" s="55" t="s">
        <v>2243</v>
      </c>
      <c r="B109" s="55" t="s">
        <v>16</v>
      </c>
      <c r="C109" s="55" t="s">
        <v>2621</v>
      </c>
      <c r="D109" s="55" t="s">
        <v>2622</v>
      </c>
      <c r="E109" s="55" t="s">
        <v>2623</v>
      </c>
      <c r="F109" s="55" t="s">
        <v>2624</v>
      </c>
      <c r="I109" s="55" t="s">
        <v>805</v>
      </c>
    </row>
    <row r="110" customFormat="false" ht="11.25" hidden="false" customHeight="true" outlineLevel="0" collapsed="false">
      <c r="A110" s="55" t="s">
        <v>2243</v>
      </c>
      <c r="B110" s="55" t="s">
        <v>16</v>
      </c>
      <c r="C110" s="55" t="s">
        <v>2625</v>
      </c>
      <c r="D110" s="55" t="s">
        <v>2626</v>
      </c>
      <c r="E110" s="55" t="s">
        <v>2627</v>
      </c>
      <c r="F110" s="55" t="s">
        <v>2283</v>
      </c>
      <c r="G110" s="55" t="s">
        <v>2628</v>
      </c>
      <c r="I110" s="55" t="s">
        <v>805</v>
      </c>
    </row>
    <row r="111" customFormat="false" ht="11.25" hidden="false" customHeight="true" outlineLevel="0" collapsed="false">
      <c r="A111" s="55" t="s">
        <v>2243</v>
      </c>
      <c r="B111" s="55" t="s">
        <v>16</v>
      </c>
      <c r="C111" s="55" t="s">
        <v>2629</v>
      </c>
      <c r="D111" s="55" t="s">
        <v>2630</v>
      </c>
      <c r="E111" s="55" t="s">
        <v>2631</v>
      </c>
      <c r="F111" s="55" t="s">
        <v>2291</v>
      </c>
      <c r="I111" s="55" t="s">
        <v>805</v>
      </c>
    </row>
    <row r="112" customFormat="false" ht="11.25" hidden="false" customHeight="true" outlineLevel="0" collapsed="false">
      <c r="A112" s="55" t="s">
        <v>2243</v>
      </c>
      <c r="B112" s="55" t="s">
        <v>16</v>
      </c>
      <c r="C112" s="55" t="s">
        <v>2632</v>
      </c>
      <c r="D112" s="55" t="s">
        <v>2633</v>
      </c>
      <c r="E112" s="55" t="s">
        <v>2634</v>
      </c>
      <c r="F112" s="55" t="s">
        <v>2247</v>
      </c>
      <c r="I112" s="55" t="s">
        <v>805</v>
      </c>
    </row>
    <row r="113" customFormat="false" ht="11.25" hidden="false" customHeight="true" outlineLevel="0" collapsed="false">
      <c r="A113" s="55" t="s">
        <v>2243</v>
      </c>
      <c r="B113" s="55" t="s">
        <v>16</v>
      </c>
      <c r="C113" s="55" t="s">
        <v>2635</v>
      </c>
      <c r="D113" s="55" t="s">
        <v>2636</v>
      </c>
      <c r="E113" s="55" t="s">
        <v>2637</v>
      </c>
      <c r="F113" s="55" t="s">
        <v>2470</v>
      </c>
      <c r="G113" s="55" t="s">
        <v>2638</v>
      </c>
      <c r="I113" s="55" t="s">
        <v>805</v>
      </c>
    </row>
    <row r="114" customFormat="false" ht="11.25" hidden="false" customHeight="true" outlineLevel="0" collapsed="false">
      <c r="A114" s="55" t="s">
        <v>2243</v>
      </c>
      <c r="B114" s="55" t="s">
        <v>16</v>
      </c>
      <c r="C114" s="55" t="s">
        <v>2639</v>
      </c>
      <c r="D114" s="55" t="s">
        <v>2640</v>
      </c>
      <c r="E114" s="55" t="s">
        <v>2641</v>
      </c>
      <c r="F114" s="55" t="s">
        <v>2642</v>
      </c>
      <c r="G114" s="55" t="s">
        <v>2643</v>
      </c>
      <c r="I114" s="55" t="s">
        <v>805</v>
      </c>
    </row>
    <row r="115" customFormat="false" ht="11.25" hidden="false" customHeight="true" outlineLevel="0" collapsed="false">
      <c r="A115" s="55" t="s">
        <v>2243</v>
      </c>
      <c r="B115" s="55" t="s">
        <v>16</v>
      </c>
      <c r="C115" s="55" t="s">
        <v>2644</v>
      </c>
      <c r="D115" s="55" t="s">
        <v>2645</v>
      </c>
      <c r="E115" s="55" t="s">
        <v>2646</v>
      </c>
      <c r="F115" s="55" t="s">
        <v>2357</v>
      </c>
      <c r="G115" s="55" t="s">
        <v>2647</v>
      </c>
      <c r="I115" s="55" t="s">
        <v>805</v>
      </c>
    </row>
    <row r="116" customFormat="false" ht="11.25" hidden="false" customHeight="true" outlineLevel="0" collapsed="false">
      <c r="A116" s="55" t="s">
        <v>2243</v>
      </c>
      <c r="B116" s="55" t="s">
        <v>16</v>
      </c>
      <c r="C116" s="55" t="s">
        <v>2648</v>
      </c>
      <c r="D116" s="55" t="s">
        <v>2649</v>
      </c>
      <c r="E116" s="55" t="s">
        <v>2650</v>
      </c>
      <c r="F116" s="55" t="s">
        <v>2274</v>
      </c>
      <c r="I116" s="55" t="s">
        <v>805</v>
      </c>
    </row>
    <row r="117" customFormat="false" ht="11.25" hidden="false" customHeight="true" outlineLevel="0" collapsed="false">
      <c r="A117" s="55" t="s">
        <v>2243</v>
      </c>
      <c r="B117" s="55" t="s">
        <v>16</v>
      </c>
      <c r="C117" s="55" t="s">
        <v>2651</v>
      </c>
      <c r="D117" s="55" t="s">
        <v>2652</v>
      </c>
      <c r="E117" s="55" t="s">
        <v>2395</v>
      </c>
      <c r="F117" s="55" t="s">
        <v>2653</v>
      </c>
      <c r="I117" s="55" t="s">
        <v>805</v>
      </c>
    </row>
    <row r="118" customFormat="false" ht="11.25" hidden="false" customHeight="true" outlineLevel="0" collapsed="false">
      <c r="A118" s="55" t="s">
        <v>2243</v>
      </c>
      <c r="B118" s="55" t="s">
        <v>16</v>
      </c>
      <c r="C118" s="55" t="s">
        <v>2654</v>
      </c>
      <c r="D118" s="55" t="s">
        <v>2655</v>
      </c>
      <c r="E118" s="55" t="s">
        <v>2656</v>
      </c>
      <c r="F118" s="55" t="s">
        <v>2283</v>
      </c>
      <c r="I118" s="55" t="s">
        <v>805</v>
      </c>
    </row>
    <row r="119" customFormat="false" ht="11.25" hidden="false" customHeight="true" outlineLevel="0" collapsed="false">
      <c r="A119" s="55" t="s">
        <v>2243</v>
      </c>
      <c r="B119" s="55" t="s">
        <v>16</v>
      </c>
      <c r="C119" s="55" t="s">
        <v>2657</v>
      </c>
      <c r="D119" s="55" t="s">
        <v>2658</v>
      </c>
      <c r="E119" s="55" t="s">
        <v>2659</v>
      </c>
      <c r="F119" s="55" t="s">
        <v>2470</v>
      </c>
      <c r="I119" s="55" t="s">
        <v>805</v>
      </c>
    </row>
    <row r="120" customFormat="false" ht="11.25" hidden="false" customHeight="true" outlineLevel="0" collapsed="false">
      <c r="A120" s="55" t="s">
        <v>2243</v>
      </c>
      <c r="B120" s="55" t="s">
        <v>16</v>
      </c>
      <c r="C120" s="55" t="s">
        <v>2660</v>
      </c>
      <c r="D120" s="55" t="s">
        <v>2661</v>
      </c>
      <c r="E120" s="55" t="s">
        <v>2662</v>
      </c>
      <c r="F120" s="55" t="s">
        <v>2291</v>
      </c>
      <c r="I120" s="55" t="s">
        <v>805</v>
      </c>
    </row>
    <row r="121" customFormat="false" ht="11.25" hidden="false" customHeight="true" outlineLevel="0" collapsed="false">
      <c r="A121" s="55" t="s">
        <v>2243</v>
      </c>
      <c r="B121" s="55" t="s">
        <v>16</v>
      </c>
      <c r="C121" s="55" t="s">
        <v>2663</v>
      </c>
      <c r="D121" s="55" t="s">
        <v>2664</v>
      </c>
      <c r="E121" s="55" t="s">
        <v>2523</v>
      </c>
      <c r="F121" s="55" t="s">
        <v>2665</v>
      </c>
      <c r="I121" s="55" t="s">
        <v>805</v>
      </c>
    </row>
    <row r="122" customFormat="false" ht="11.25" hidden="false" customHeight="true" outlineLevel="0" collapsed="false">
      <c r="A122" s="55" t="s">
        <v>2243</v>
      </c>
      <c r="B122" s="55" t="s">
        <v>16</v>
      </c>
      <c r="C122" s="55" t="s">
        <v>2666</v>
      </c>
      <c r="D122" s="55" t="s">
        <v>2667</v>
      </c>
      <c r="E122" s="55" t="s">
        <v>2668</v>
      </c>
      <c r="F122" s="55" t="s">
        <v>2329</v>
      </c>
      <c r="I122" s="55" t="s">
        <v>805</v>
      </c>
    </row>
    <row r="123" customFormat="false" ht="11.25" hidden="false" customHeight="true" outlineLevel="0" collapsed="false">
      <c r="A123" s="55" t="s">
        <v>2243</v>
      </c>
      <c r="B123" s="55" t="s">
        <v>16</v>
      </c>
      <c r="C123" s="55" t="s">
        <v>2669</v>
      </c>
      <c r="D123" s="55" t="s">
        <v>2670</v>
      </c>
      <c r="E123" s="55" t="s">
        <v>2671</v>
      </c>
      <c r="F123" s="55" t="s">
        <v>2672</v>
      </c>
      <c r="I123" s="55" t="s">
        <v>805</v>
      </c>
    </row>
    <row r="124" customFormat="false" ht="11.25" hidden="false" customHeight="true" outlineLevel="0" collapsed="false">
      <c r="A124" s="55" t="s">
        <v>2243</v>
      </c>
      <c r="B124" s="55" t="s">
        <v>16</v>
      </c>
      <c r="C124" s="55" t="s">
        <v>2673</v>
      </c>
      <c r="D124" s="55" t="s">
        <v>2674</v>
      </c>
      <c r="E124" s="55" t="s">
        <v>2675</v>
      </c>
      <c r="F124" s="55" t="s">
        <v>2371</v>
      </c>
      <c r="I124" s="55" t="s">
        <v>805</v>
      </c>
    </row>
    <row r="125" customFormat="false" ht="11.25" hidden="false" customHeight="true" outlineLevel="0" collapsed="false">
      <c r="A125" s="55" t="s">
        <v>2243</v>
      </c>
      <c r="B125" s="55" t="s">
        <v>16</v>
      </c>
      <c r="C125" s="55" t="s">
        <v>2676</v>
      </c>
      <c r="D125" s="55" t="s">
        <v>2677</v>
      </c>
      <c r="E125" s="55" t="s">
        <v>2678</v>
      </c>
      <c r="F125" s="55" t="s">
        <v>2672</v>
      </c>
      <c r="I125" s="55" t="s">
        <v>805</v>
      </c>
    </row>
    <row r="126" customFormat="false" ht="11.25" hidden="false" customHeight="true" outlineLevel="0" collapsed="false">
      <c r="A126" s="55" t="s">
        <v>2243</v>
      </c>
      <c r="B126" s="55" t="s">
        <v>16</v>
      </c>
      <c r="C126" s="55" t="s">
        <v>2679</v>
      </c>
      <c r="D126" s="55" t="s">
        <v>2680</v>
      </c>
      <c r="E126" s="55" t="s">
        <v>2681</v>
      </c>
      <c r="F126" s="55" t="s">
        <v>2566</v>
      </c>
      <c r="I126" s="55" t="s">
        <v>805</v>
      </c>
    </row>
    <row r="127" customFormat="false" ht="11.25" hidden="false" customHeight="true" outlineLevel="0" collapsed="false">
      <c r="A127" s="55" t="s">
        <v>2243</v>
      </c>
      <c r="B127" s="55" t="s">
        <v>16</v>
      </c>
      <c r="C127" s="55" t="s">
        <v>2682</v>
      </c>
      <c r="D127" s="55" t="s">
        <v>2683</v>
      </c>
      <c r="E127" s="55" t="s">
        <v>2684</v>
      </c>
      <c r="F127" s="55" t="s">
        <v>2318</v>
      </c>
      <c r="I127" s="55" t="s">
        <v>805</v>
      </c>
    </row>
    <row r="128" customFormat="false" ht="11.25" hidden="false" customHeight="true" outlineLevel="0" collapsed="false">
      <c r="A128" s="55" t="s">
        <v>2243</v>
      </c>
      <c r="B128" s="55" t="s">
        <v>16</v>
      </c>
      <c r="C128" s="55" t="s">
        <v>2685</v>
      </c>
      <c r="D128" s="55" t="s">
        <v>2686</v>
      </c>
      <c r="E128" s="55" t="s">
        <v>2687</v>
      </c>
      <c r="F128" s="55" t="s">
        <v>2247</v>
      </c>
      <c r="G128" s="55" t="s">
        <v>2688</v>
      </c>
      <c r="I128" s="55" t="s">
        <v>805</v>
      </c>
    </row>
    <row r="129" customFormat="false" ht="11.25" hidden="false" customHeight="true" outlineLevel="0" collapsed="false">
      <c r="A129" s="55" t="s">
        <v>2243</v>
      </c>
      <c r="B129" s="55" t="s">
        <v>16</v>
      </c>
      <c r="C129" s="55" t="s">
        <v>2689</v>
      </c>
      <c r="D129" s="55" t="s">
        <v>2690</v>
      </c>
      <c r="E129" s="55" t="s">
        <v>2691</v>
      </c>
      <c r="F129" s="55" t="s">
        <v>2274</v>
      </c>
      <c r="I129" s="55" t="s">
        <v>805</v>
      </c>
    </row>
    <row r="130" customFormat="false" ht="11.25" hidden="false" customHeight="true" outlineLevel="0" collapsed="false">
      <c r="A130" s="55" t="s">
        <v>2243</v>
      </c>
      <c r="B130" s="55" t="s">
        <v>16</v>
      </c>
      <c r="C130" s="55" t="s">
        <v>2692</v>
      </c>
      <c r="D130" s="55" t="s">
        <v>2693</v>
      </c>
      <c r="E130" s="55" t="s">
        <v>2694</v>
      </c>
      <c r="F130" s="55" t="s">
        <v>2695</v>
      </c>
      <c r="I130" s="55" t="s">
        <v>805</v>
      </c>
    </row>
    <row r="131" customFormat="false" ht="11.25" hidden="false" customHeight="true" outlineLevel="0" collapsed="false">
      <c r="A131" s="55" t="s">
        <v>2243</v>
      </c>
      <c r="B131" s="55" t="s">
        <v>16</v>
      </c>
      <c r="C131" s="55" t="s">
        <v>2696</v>
      </c>
      <c r="D131" s="55" t="s">
        <v>2697</v>
      </c>
      <c r="E131" s="55" t="s">
        <v>2698</v>
      </c>
      <c r="F131" s="55" t="s">
        <v>2274</v>
      </c>
      <c r="I131" s="55" t="s">
        <v>805</v>
      </c>
    </row>
    <row r="132" customFormat="false" ht="11.25" hidden="false" customHeight="true" outlineLevel="0" collapsed="false">
      <c r="A132" s="55" t="s">
        <v>2243</v>
      </c>
      <c r="B132" s="55" t="s">
        <v>16</v>
      </c>
      <c r="C132" s="55" t="s">
        <v>2699</v>
      </c>
      <c r="D132" s="55" t="s">
        <v>2700</v>
      </c>
      <c r="E132" s="55" t="s">
        <v>2701</v>
      </c>
      <c r="F132" s="55" t="s">
        <v>2338</v>
      </c>
      <c r="I132" s="55" t="s">
        <v>805</v>
      </c>
    </row>
    <row r="133" customFormat="false" ht="11.25" hidden="false" customHeight="true" outlineLevel="0" collapsed="false">
      <c r="A133" s="55" t="s">
        <v>2243</v>
      </c>
      <c r="B133" s="55" t="s">
        <v>16</v>
      </c>
      <c r="C133" s="55" t="s">
        <v>2702</v>
      </c>
      <c r="D133" s="55" t="s">
        <v>2703</v>
      </c>
      <c r="E133" s="55" t="s">
        <v>2704</v>
      </c>
      <c r="F133" s="55" t="s">
        <v>2705</v>
      </c>
      <c r="I133" s="55" t="s">
        <v>805</v>
      </c>
    </row>
    <row r="134" customFormat="false" ht="11.25" hidden="false" customHeight="true" outlineLevel="0" collapsed="false">
      <c r="A134" s="55" t="s">
        <v>2243</v>
      </c>
      <c r="B134" s="55" t="s">
        <v>16</v>
      </c>
      <c r="C134" s="55" t="s">
        <v>2706</v>
      </c>
      <c r="D134" s="55" t="s">
        <v>2707</v>
      </c>
      <c r="E134" s="55" t="s">
        <v>2708</v>
      </c>
      <c r="F134" s="55" t="s">
        <v>2709</v>
      </c>
      <c r="I134" s="55" t="s">
        <v>805</v>
      </c>
    </row>
    <row r="135" customFormat="false" ht="11.25" hidden="false" customHeight="true" outlineLevel="0" collapsed="false">
      <c r="A135" s="55" t="s">
        <v>2243</v>
      </c>
      <c r="B135" s="55" t="s">
        <v>16</v>
      </c>
      <c r="C135" s="55" t="s">
        <v>2710</v>
      </c>
      <c r="D135" s="55" t="s">
        <v>2711</v>
      </c>
      <c r="E135" s="55" t="s">
        <v>2712</v>
      </c>
      <c r="F135" s="55" t="s">
        <v>2329</v>
      </c>
      <c r="I135" s="55" t="s">
        <v>805</v>
      </c>
    </row>
    <row r="136" customFormat="false" ht="11.25" hidden="false" customHeight="true" outlineLevel="0" collapsed="false">
      <c r="A136" s="55" t="s">
        <v>2243</v>
      </c>
      <c r="B136" s="55" t="s">
        <v>16</v>
      </c>
      <c r="C136" s="55" t="s">
        <v>2713</v>
      </c>
      <c r="D136" s="55" t="s">
        <v>2714</v>
      </c>
      <c r="E136" s="55" t="s">
        <v>2715</v>
      </c>
      <c r="F136" s="55" t="s">
        <v>2716</v>
      </c>
      <c r="G136" s="55" t="s">
        <v>2717</v>
      </c>
      <c r="I136" s="55" t="s">
        <v>805</v>
      </c>
    </row>
    <row r="137" customFormat="false" ht="11.25" hidden="false" customHeight="true" outlineLevel="0" collapsed="false">
      <c r="A137" s="55" t="s">
        <v>2243</v>
      </c>
      <c r="B137" s="55" t="s">
        <v>16</v>
      </c>
      <c r="C137" s="55" t="s">
        <v>2718</v>
      </c>
      <c r="D137" s="55" t="s">
        <v>2719</v>
      </c>
      <c r="E137" s="55" t="s">
        <v>2720</v>
      </c>
      <c r="F137" s="55" t="s">
        <v>2291</v>
      </c>
      <c r="I137" s="55" t="s">
        <v>805</v>
      </c>
    </row>
    <row r="138" customFormat="false" ht="11.25" hidden="false" customHeight="true" outlineLevel="0" collapsed="false">
      <c r="A138" s="55" t="s">
        <v>2243</v>
      </c>
      <c r="B138" s="55" t="s">
        <v>16</v>
      </c>
      <c r="C138" s="55" t="s">
        <v>2721</v>
      </c>
      <c r="D138" s="55" t="s">
        <v>2722</v>
      </c>
      <c r="E138" s="55" t="s">
        <v>2723</v>
      </c>
      <c r="F138" s="55" t="s">
        <v>2695</v>
      </c>
      <c r="I138" s="55" t="s">
        <v>805</v>
      </c>
    </row>
    <row r="139" customFormat="false" ht="11.25" hidden="false" customHeight="true" outlineLevel="0" collapsed="false">
      <c r="A139" s="55" t="s">
        <v>2243</v>
      </c>
      <c r="B139" s="55" t="s">
        <v>16</v>
      </c>
      <c r="C139" s="55" t="s">
        <v>2724</v>
      </c>
      <c r="D139" s="55" t="s">
        <v>2725</v>
      </c>
      <c r="E139" s="55" t="s">
        <v>2726</v>
      </c>
      <c r="F139" s="55" t="s">
        <v>2329</v>
      </c>
      <c r="I139" s="55" t="s">
        <v>805</v>
      </c>
    </row>
    <row r="140" customFormat="false" ht="11.25" hidden="false" customHeight="true" outlineLevel="0" collapsed="false">
      <c r="A140" s="55" t="s">
        <v>2243</v>
      </c>
      <c r="B140" s="55" t="s">
        <v>16</v>
      </c>
      <c r="C140" s="55" t="s">
        <v>2727</v>
      </c>
      <c r="D140" s="55" t="s">
        <v>2728</v>
      </c>
      <c r="E140" s="55" t="s">
        <v>2729</v>
      </c>
      <c r="F140" s="55" t="s">
        <v>2371</v>
      </c>
      <c r="I140" s="55" t="s">
        <v>805</v>
      </c>
    </row>
    <row r="141" customFormat="false" ht="11.25" hidden="false" customHeight="true" outlineLevel="0" collapsed="false">
      <c r="A141" s="55" t="s">
        <v>2243</v>
      </c>
      <c r="B141" s="55" t="s">
        <v>16</v>
      </c>
      <c r="C141" s="55" t="s">
        <v>2730</v>
      </c>
      <c r="D141" s="55" t="s">
        <v>2731</v>
      </c>
      <c r="E141" s="55" t="s">
        <v>2732</v>
      </c>
      <c r="F141" s="55" t="s">
        <v>2733</v>
      </c>
      <c r="I141" s="55" t="s">
        <v>805</v>
      </c>
    </row>
    <row r="142" customFormat="false" ht="11.25" hidden="false" customHeight="true" outlineLevel="0" collapsed="false">
      <c r="A142" s="55" t="s">
        <v>2243</v>
      </c>
      <c r="B142" s="55" t="s">
        <v>16</v>
      </c>
      <c r="C142" s="55" t="s">
        <v>2734</v>
      </c>
      <c r="D142" s="55" t="s">
        <v>2735</v>
      </c>
      <c r="E142" s="55" t="s">
        <v>2736</v>
      </c>
      <c r="F142" s="55" t="s">
        <v>2291</v>
      </c>
      <c r="I142" s="55" t="s">
        <v>805</v>
      </c>
    </row>
    <row r="143" customFormat="false" ht="11.25" hidden="false" customHeight="true" outlineLevel="0" collapsed="false">
      <c r="A143" s="55" t="s">
        <v>2243</v>
      </c>
      <c r="B143" s="55" t="s">
        <v>16</v>
      </c>
      <c r="C143" s="55" t="s">
        <v>2737</v>
      </c>
      <c r="D143" s="55" t="s">
        <v>2738</v>
      </c>
      <c r="E143" s="55" t="s">
        <v>2739</v>
      </c>
      <c r="F143" s="55" t="s">
        <v>2314</v>
      </c>
      <c r="G143" s="55" t="s">
        <v>2740</v>
      </c>
      <c r="I143" s="55" t="s">
        <v>805</v>
      </c>
    </row>
    <row r="144" customFormat="false" ht="11.25" hidden="false" customHeight="true" outlineLevel="0" collapsed="false">
      <c r="A144" s="55" t="s">
        <v>2243</v>
      </c>
      <c r="B144" s="55" t="s">
        <v>16</v>
      </c>
      <c r="C144" s="55" t="s">
        <v>2741</v>
      </c>
      <c r="D144" s="55" t="s">
        <v>2742</v>
      </c>
      <c r="E144" s="55" t="s">
        <v>2743</v>
      </c>
      <c r="F144" s="55" t="s">
        <v>2744</v>
      </c>
      <c r="G144" s="55" t="s">
        <v>2745</v>
      </c>
      <c r="I144" s="55" t="s">
        <v>805</v>
      </c>
    </row>
    <row r="145" customFormat="false" ht="11.25" hidden="false" customHeight="true" outlineLevel="0" collapsed="false">
      <c r="A145" s="55" t="s">
        <v>2243</v>
      </c>
      <c r="B145" s="55" t="s">
        <v>16</v>
      </c>
      <c r="C145" s="55" t="s">
        <v>2746</v>
      </c>
      <c r="D145" s="55" t="s">
        <v>2747</v>
      </c>
      <c r="E145" s="55" t="s">
        <v>2748</v>
      </c>
      <c r="F145" s="55" t="s">
        <v>2749</v>
      </c>
      <c r="I145" s="55" t="s">
        <v>805</v>
      </c>
    </row>
    <row r="146" customFormat="false" ht="11.25" hidden="false" customHeight="true" outlineLevel="0" collapsed="false">
      <c r="A146" s="55" t="s">
        <v>2243</v>
      </c>
      <c r="B146" s="55" t="s">
        <v>16</v>
      </c>
      <c r="C146" s="55" t="s">
        <v>2750</v>
      </c>
      <c r="D146" s="55" t="s">
        <v>2751</v>
      </c>
      <c r="E146" s="55" t="s">
        <v>2752</v>
      </c>
      <c r="F146" s="55" t="s">
        <v>2291</v>
      </c>
      <c r="G146" s="55" t="s">
        <v>2753</v>
      </c>
      <c r="I146" s="55" t="s">
        <v>805</v>
      </c>
    </row>
    <row r="147" customFormat="false" ht="11.25" hidden="false" customHeight="true" outlineLevel="0" collapsed="false">
      <c r="A147" s="55" t="s">
        <v>2243</v>
      </c>
      <c r="B147" s="55" t="s">
        <v>16</v>
      </c>
      <c r="C147" s="55" t="s">
        <v>2754</v>
      </c>
      <c r="D147" s="55" t="s">
        <v>2755</v>
      </c>
      <c r="E147" s="55" t="s">
        <v>2756</v>
      </c>
      <c r="F147" s="55" t="s">
        <v>2757</v>
      </c>
      <c r="I147" s="55" t="s">
        <v>805</v>
      </c>
    </row>
    <row r="148" customFormat="false" ht="11.25" hidden="false" customHeight="true" outlineLevel="0" collapsed="false">
      <c r="A148" s="55" t="s">
        <v>2243</v>
      </c>
      <c r="B148" s="55" t="s">
        <v>16</v>
      </c>
      <c r="C148" s="55" t="s">
        <v>2758</v>
      </c>
      <c r="D148" s="55" t="s">
        <v>2759</v>
      </c>
      <c r="E148" s="55" t="s">
        <v>2760</v>
      </c>
      <c r="F148" s="55" t="s">
        <v>2470</v>
      </c>
      <c r="I148" s="55" t="s">
        <v>805</v>
      </c>
    </row>
    <row r="149" customFormat="false" ht="11.25" hidden="false" customHeight="true" outlineLevel="0" collapsed="false">
      <c r="A149" s="55" t="s">
        <v>2243</v>
      </c>
      <c r="B149" s="55" t="s">
        <v>16</v>
      </c>
      <c r="C149" s="55" t="s">
        <v>2761</v>
      </c>
      <c r="D149" s="55" t="s">
        <v>2762</v>
      </c>
      <c r="E149" s="55" t="s">
        <v>2763</v>
      </c>
      <c r="F149" s="55" t="s">
        <v>2371</v>
      </c>
      <c r="G149" s="55" t="s">
        <v>2764</v>
      </c>
      <c r="I149" s="55" t="s">
        <v>805</v>
      </c>
    </row>
    <row r="150" customFormat="false" ht="11.25" hidden="false" customHeight="true" outlineLevel="0" collapsed="false">
      <c r="A150" s="55" t="s">
        <v>2243</v>
      </c>
      <c r="B150" s="55" t="s">
        <v>16</v>
      </c>
      <c r="C150" s="55" t="s">
        <v>2765</v>
      </c>
      <c r="D150" s="55" t="s">
        <v>2766</v>
      </c>
      <c r="E150" s="55" t="s">
        <v>2767</v>
      </c>
      <c r="F150" s="55" t="s">
        <v>572</v>
      </c>
      <c r="I150" s="55" t="s">
        <v>805</v>
      </c>
    </row>
    <row r="151" customFormat="false" ht="11.25" hidden="false" customHeight="true" outlineLevel="0" collapsed="false">
      <c r="A151" s="55" t="s">
        <v>2243</v>
      </c>
      <c r="B151" s="55" t="s">
        <v>16</v>
      </c>
      <c r="C151" s="55" t="s">
        <v>2768</v>
      </c>
      <c r="D151" s="55" t="s">
        <v>2769</v>
      </c>
      <c r="E151" s="55" t="s">
        <v>2770</v>
      </c>
      <c r="F151" s="55" t="s">
        <v>572</v>
      </c>
      <c r="I151" s="55" t="s">
        <v>805</v>
      </c>
    </row>
    <row r="152" customFormat="false" ht="11.25" hidden="false" customHeight="true" outlineLevel="0" collapsed="false">
      <c r="A152" s="55" t="s">
        <v>2243</v>
      </c>
      <c r="B152" s="55" t="s">
        <v>16</v>
      </c>
      <c r="C152" s="55" t="s">
        <v>2771</v>
      </c>
      <c r="D152" s="55" t="s">
        <v>2772</v>
      </c>
      <c r="E152" s="55" t="s">
        <v>2773</v>
      </c>
      <c r="F152" s="55" t="s">
        <v>572</v>
      </c>
      <c r="I152" s="55" t="s">
        <v>805</v>
      </c>
    </row>
    <row r="153" customFormat="false" ht="11.25" hidden="false" customHeight="true" outlineLevel="0" collapsed="false">
      <c r="A153" s="55" t="s">
        <v>2243</v>
      </c>
      <c r="B153" s="55" t="s">
        <v>16</v>
      </c>
      <c r="C153" s="55" t="s">
        <v>2774</v>
      </c>
      <c r="D153" s="55" t="s">
        <v>2775</v>
      </c>
      <c r="E153" s="55" t="s">
        <v>2776</v>
      </c>
      <c r="F153" s="55" t="s">
        <v>572</v>
      </c>
      <c r="I153" s="55" t="s">
        <v>805</v>
      </c>
    </row>
    <row r="154" customFormat="false" ht="11.25" hidden="false" customHeight="true" outlineLevel="0" collapsed="false">
      <c r="A154" s="55" t="s">
        <v>2243</v>
      </c>
      <c r="B154" s="55" t="s">
        <v>16</v>
      </c>
      <c r="C154" s="55" t="s">
        <v>2777</v>
      </c>
      <c r="D154" s="55" t="s">
        <v>2778</v>
      </c>
      <c r="E154" s="55" t="s">
        <v>2779</v>
      </c>
      <c r="F154" s="55" t="s">
        <v>572</v>
      </c>
      <c r="I154" s="55" t="s">
        <v>805</v>
      </c>
    </row>
    <row r="155" customFormat="false" ht="11.25" hidden="false" customHeight="true" outlineLevel="0" collapsed="false">
      <c r="A155" s="55" t="s">
        <v>2243</v>
      </c>
      <c r="B155" s="55" t="s">
        <v>16</v>
      </c>
      <c r="C155" s="55" t="s">
        <v>2780</v>
      </c>
      <c r="D155" s="55" t="s">
        <v>2781</v>
      </c>
      <c r="E155" s="55" t="s">
        <v>2782</v>
      </c>
      <c r="F155" s="55" t="s">
        <v>572</v>
      </c>
      <c r="I155" s="55" t="s">
        <v>805</v>
      </c>
    </row>
    <row r="156" customFormat="false" ht="11.25" hidden="false" customHeight="true" outlineLevel="0" collapsed="false">
      <c r="A156" s="55" t="s">
        <v>2243</v>
      </c>
      <c r="B156" s="55" t="s">
        <v>16</v>
      </c>
      <c r="C156" s="55" t="s">
        <v>2783</v>
      </c>
      <c r="D156" s="55" t="s">
        <v>2784</v>
      </c>
      <c r="E156" s="55" t="s">
        <v>2785</v>
      </c>
      <c r="F156" s="55" t="s">
        <v>572</v>
      </c>
      <c r="I156" s="55" t="s">
        <v>805</v>
      </c>
    </row>
    <row r="157" customFormat="false" ht="11.25" hidden="false" customHeight="true" outlineLevel="0" collapsed="false">
      <c r="A157" s="55" t="s">
        <v>2243</v>
      </c>
      <c r="B157" s="55" t="s">
        <v>16</v>
      </c>
      <c r="C157" s="55" t="s">
        <v>2786</v>
      </c>
      <c r="D157" s="55" t="s">
        <v>2787</v>
      </c>
      <c r="E157" s="55" t="s">
        <v>2788</v>
      </c>
      <c r="F157" s="55" t="s">
        <v>572</v>
      </c>
      <c r="I157" s="55" t="s">
        <v>805</v>
      </c>
    </row>
    <row r="158" customFormat="false" ht="11.25" hidden="false" customHeight="true" outlineLevel="0" collapsed="false">
      <c r="A158" s="55" t="s">
        <v>2243</v>
      </c>
      <c r="B158" s="55" t="s">
        <v>16</v>
      </c>
      <c r="C158" s="55" t="s">
        <v>2789</v>
      </c>
      <c r="D158" s="55" t="s">
        <v>2790</v>
      </c>
      <c r="E158" s="55" t="s">
        <v>2791</v>
      </c>
      <c r="F158" s="55" t="s">
        <v>572</v>
      </c>
      <c r="I158" s="55" t="s">
        <v>805</v>
      </c>
    </row>
    <row r="159" customFormat="false" ht="11.25" hidden="false" customHeight="true" outlineLevel="0" collapsed="false">
      <c r="A159" s="55" t="s">
        <v>2243</v>
      </c>
      <c r="B159" s="55" t="s">
        <v>16</v>
      </c>
      <c r="C159" s="55" t="s">
        <v>2792</v>
      </c>
      <c r="D159" s="55" t="s">
        <v>2793</v>
      </c>
      <c r="E159" s="55" t="s">
        <v>2794</v>
      </c>
      <c r="F159" s="55" t="s">
        <v>572</v>
      </c>
      <c r="I159" s="55" t="s">
        <v>805</v>
      </c>
    </row>
    <row r="160" customFormat="false" ht="11.25" hidden="false" customHeight="true" outlineLevel="0" collapsed="false">
      <c r="A160" s="55" t="s">
        <v>2243</v>
      </c>
      <c r="B160" s="55" t="s">
        <v>16</v>
      </c>
      <c r="C160" s="55" t="s">
        <v>2795</v>
      </c>
      <c r="D160" s="55" t="s">
        <v>2796</v>
      </c>
      <c r="E160" s="55" t="s">
        <v>2797</v>
      </c>
      <c r="F160" s="55" t="s">
        <v>572</v>
      </c>
      <c r="G160" s="55" t="s">
        <v>2798</v>
      </c>
      <c r="I160" s="55" t="s">
        <v>805</v>
      </c>
    </row>
    <row r="161" customFormat="false" ht="11.25" hidden="false" customHeight="true" outlineLevel="0" collapsed="false">
      <c r="A161" s="55" t="s">
        <v>2243</v>
      </c>
      <c r="B161" s="55" t="s">
        <v>16</v>
      </c>
      <c r="C161" s="55" t="s">
        <v>2799</v>
      </c>
      <c r="D161" s="55" t="s">
        <v>2800</v>
      </c>
      <c r="E161" s="55" t="s">
        <v>2801</v>
      </c>
      <c r="F161" s="55" t="s">
        <v>572</v>
      </c>
      <c r="G161" s="55" t="s">
        <v>2802</v>
      </c>
      <c r="I161" s="55" t="s">
        <v>805</v>
      </c>
    </row>
    <row r="162" customFormat="false" ht="11.25" hidden="false" customHeight="true" outlineLevel="0" collapsed="false">
      <c r="A162" s="55" t="s">
        <v>2243</v>
      </c>
      <c r="B162" s="55" t="s">
        <v>16</v>
      </c>
      <c r="C162" s="55" t="s">
        <v>2803</v>
      </c>
      <c r="D162" s="55" t="s">
        <v>2804</v>
      </c>
      <c r="E162" s="55" t="s">
        <v>2805</v>
      </c>
      <c r="F162" s="55" t="s">
        <v>572</v>
      </c>
      <c r="I162" s="55" t="s">
        <v>805</v>
      </c>
    </row>
    <row r="163" customFormat="false" ht="11.25" hidden="false" customHeight="true" outlineLevel="0" collapsed="false">
      <c r="A163" s="55" t="s">
        <v>2243</v>
      </c>
      <c r="B163" s="55" t="s">
        <v>16</v>
      </c>
      <c r="C163" s="55" t="s">
        <v>2806</v>
      </c>
      <c r="D163" s="55" t="s">
        <v>2807</v>
      </c>
      <c r="E163" s="55" t="s">
        <v>2808</v>
      </c>
      <c r="F163" s="55" t="s">
        <v>572</v>
      </c>
      <c r="I163" s="55" t="s">
        <v>805</v>
      </c>
    </row>
    <row r="164" customFormat="false" ht="11.25" hidden="false" customHeight="true" outlineLevel="0" collapsed="false">
      <c r="A164" s="55" t="s">
        <v>2243</v>
      </c>
      <c r="B164" s="55" t="s">
        <v>16</v>
      </c>
      <c r="C164" s="55" t="s">
        <v>2809</v>
      </c>
      <c r="D164" s="55" t="s">
        <v>2810</v>
      </c>
      <c r="E164" s="55" t="s">
        <v>2811</v>
      </c>
      <c r="F164" s="55" t="s">
        <v>572</v>
      </c>
      <c r="I164" s="55" t="s">
        <v>805</v>
      </c>
    </row>
    <row r="165" customFormat="false" ht="11.25" hidden="false" customHeight="true" outlineLevel="0" collapsed="false">
      <c r="A165" s="55" t="s">
        <v>2243</v>
      </c>
      <c r="B165" s="55" t="s">
        <v>16</v>
      </c>
      <c r="C165" s="55" t="s">
        <v>2812</v>
      </c>
      <c r="D165" s="55" t="s">
        <v>2813</v>
      </c>
      <c r="E165" s="55" t="s">
        <v>2814</v>
      </c>
      <c r="F165" s="55" t="s">
        <v>572</v>
      </c>
      <c r="I165" s="55" t="s">
        <v>805</v>
      </c>
    </row>
    <row r="166" customFormat="false" ht="11.25" hidden="false" customHeight="true" outlineLevel="0" collapsed="false">
      <c r="A166" s="55" t="s">
        <v>2243</v>
      </c>
      <c r="B166" s="55" t="s">
        <v>16</v>
      </c>
      <c r="C166" s="55" t="s">
        <v>2815</v>
      </c>
      <c r="D166" s="55" t="s">
        <v>2816</v>
      </c>
      <c r="E166" s="55" t="s">
        <v>2817</v>
      </c>
      <c r="F166" s="55" t="s">
        <v>2818</v>
      </c>
      <c r="I166" s="55" t="s">
        <v>805</v>
      </c>
    </row>
    <row r="167" customFormat="false" ht="11.25" hidden="false" customHeight="true" outlineLevel="0" collapsed="false">
      <c r="A167" s="55" t="s">
        <v>2243</v>
      </c>
      <c r="B167" s="55" t="s">
        <v>16</v>
      </c>
      <c r="C167" s="55" t="s">
        <v>2819</v>
      </c>
      <c r="D167" s="55" t="s">
        <v>2820</v>
      </c>
      <c r="E167" s="55" t="s">
        <v>2821</v>
      </c>
      <c r="F167" s="55" t="s">
        <v>2387</v>
      </c>
      <c r="I167" s="55" t="s">
        <v>805</v>
      </c>
    </row>
    <row r="168" customFormat="false" ht="11.25" hidden="false" customHeight="true" outlineLevel="0" collapsed="false">
      <c r="A168" s="55" t="s">
        <v>2243</v>
      </c>
      <c r="B168" s="55" t="s">
        <v>16</v>
      </c>
      <c r="C168" s="55" t="s">
        <v>2822</v>
      </c>
      <c r="D168" s="55" t="s">
        <v>2823</v>
      </c>
      <c r="E168" s="55" t="s">
        <v>2824</v>
      </c>
      <c r="F168" s="55" t="s">
        <v>2274</v>
      </c>
      <c r="I168" s="55" t="s">
        <v>805</v>
      </c>
    </row>
    <row r="169" customFormat="false" ht="11.25" hidden="false" customHeight="true" outlineLevel="0" collapsed="false">
      <c r="A169" s="55" t="s">
        <v>2243</v>
      </c>
      <c r="B169" s="55" t="s">
        <v>16</v>
      </c>
      <c r="C169" s="55" t="s">
        <v>2825</v>
      </c>
      <c r="D169" s="55" t="s">
        <v>2826</v>
      </c>
      <c r="E169" s="55" t="s">
        <v>2827</v>
      </c>
      <c r="F169" s="55" t="s">
        <v>2672</v>
      </c>
      <c r="I169" s="55" t="s">
        <v>805</v>
      </c>
    </row>
    <row r="170" customFormat="false" ht="11.25" hidden="false" customHeight="true" outlineLevel="0" collapsed="false">
      <c r="A170" s="55" t="s">
        <v>2243</v>
      </c>
      <c r="B170" s="55" t="s">
        <v>16</v>
      </c>
      <c r="C170" s="55" t="s">
        <v>2828</v>
      </c>
      <c r="D170" s="55" t="s">
        <v>2829</v>
      </c>
      <c r="E170" s="55" t="s">
        <v>2830</v>
      </c>
      <c r="F170" s="55" t="s">
        <v>2566</v>
      </c>
      <c r="I170" s="55" t="s">
        <v>805</v>
      </c>
    </row>
    <row r="171" customFormat="false" ht="11.25" hidden="false" customHeight="true" outlineLevel="0" collapsed="false">
      <c r="A171" s="55" t="s">
        <v>2243</v>
      </c>
      <c r="B171" s="55" t="s">
        <v>16</v>
      </c>
      <c r="C171" s="55" t="s">
        <v>2831</v>
      </c>
      <c r="D171" s="55" t="s">
        <v>2832</v>
      </c>
      <c r="E171" s="55" t="s">
        <v>2833</v>
      </c>
      <c r="F171" s="55" t="s">
        <v>2283</v>
      </c>
      <c r="I171" s="55" t="s">
        <v>805</v>
      </c>
    </row>
    <row r="172" customFormat="false" ht="11.25" hidden="false" customHeight="true" outlineLevel="0" collapsed="false">
      <c r="A172" s="55" t="s">
        <v>2243</v>
      </c>
      <c r="B172" s="55" t="s">
        <v>16</v>
      </c>
      <c r="C172" s="55" t="s">
        <v>2834</v>
      </c>
      <c r="D172" s="55" t="s">
        <v>2835</v>
      </c>
      <c r="E172" s="55" t="s">
        <v>2836</v>
      </c>
      <c r="F172" s="55" t="s">
        <v>2347</v>
      </c>
      <c r="I172" s="55" t="s">
        <v>805</v>
      </c>
    </row>
    <row r="173" customFormat="false" ht="11.25" hidden="false" customHeight="true" outlineLevel="0" collapsed="false">
      <c r="A173" s="55" t="s">
        <v>2243</v>
      </c>
      <c r="B173" s="55" t="s">
        <v>16</v>
      </c>
      <c r="C173" s="55" t="s">
        <v>2837</v>
      </c>
      <c r="D173" s="55" t="s">
        <v>2838</v>
      </c>
      <c r="E173" s="55" t="s">
        <v>2839</v>
      </c>
      <c r="F173" s="55" t="s">
        <v>2566</v>
      </c>
      <c r="I173" s="55" t="s">
        <v>805</v>
      </c>
    </row>
    <row r="174" customFormat="false" ht="11.25" hidden="false" customHeight="true" outlineLevel="0" collapsed="false">
      <c r="A174" s="55" t="s">
        <v>2243</v>
      </c>
      <c r="B174" s="55" t="s">
        <v>16</v>
      </c>
      <c r="C174" s="55" t="s">
        <v>2840</v>
      </c>
      <c r="D174" s="55" t="s">
        <v>2841</v>
      </c>
      <c r="E174" s="55" t="s">
        <v>2842</v>
      </c>
      <c r="F174" s="55" t="s">
        <v>2283</v>
      </c>
      <c r="I174" s="55" t="s">
        <v>805</v>
      </c>
    </row>
    <row r="175" customFormat="false" ht="11.25" hidden="false" customHeight="true" outlineLevel="0" collapsed="false">
      <c r="A175" s="55" t="s">
        <v>2243</v>
      </c>
      <c r="B175" s="55" t="s">
        <v>16</v>
      </c>
      <c r="C175" s="55" t="s">
        <v>2843</v>
      </c>
      <c r="D175" s="55" t="s">
        <v>2844</v>
      </c>
      <c r="E175" s="55" t="s">
        <v>2845</v>
      </c>
      <c r="F175" s="55" t="s">
        <v>2283</v>
      </c>
      <c r="I175" s="55" t="s">
        <v>805</v>
      </c>
    </row>
    <row r="176" customFormat="false" ht="11.25" hidden="false" customHeight="true" outlineLevel="0" collapsed="false">
      <c r="A176" s="55" t="s">
        <v>2243</v>
      </c>
      <c r="B176" s="55" t="s">
        <v>16</v>
      </c>
      <c r="C176" s="55" t="s">
        <v>2846</v>
      </c>
      <c r="D176" s="55" t="s">
        <v>2847</v>
      </c>
      <c r="E176" s="55" t="s">
        <v>2848</v>
      </c>
      <c r="F176" s="55" t="s">
        <v>2333</v>
      </c>
      <c r="I176" s="55" t="s">
        <v>805</v>
      </c>
    </row>
    <row r="177" customFormat="false" ht="11.25" hidden="false" customHeight="true" outlineLevel="0" collapsed="false">
      <c r="A177" s="55" t="s">
        <v>2243</v>
      </c>
      <c r="B177" s="55" t="s">
        <v>16</v>
      </c>
      <c r="C177" s="55" t="s">
        <v>2849</v>
      </c>
      <c r="D177" s="55" t="s">
        <v>2850</v>
      </c>
      <c r="E177" s="55" t="s">
        <v>2851</v>
      </c>
      <c r="F177" s="55" t="s">
        <v>2342</v>
      </c>
      <c r="I177" s="55" t="s">
        <v>805</v>
      </c>
    </row>
    <row r="178" customFormat="false" ht="11.25" hidden="false" customHeight="true" outlineLevel="0" collapsed="false">
      <c r="A178" s="55" t="s">
        <v>2243</v>
      </c>
      <c r="B178" s="55" t="s">
        <v>16</v>
      </c>
      <c r="C178" s="55" t="s">
        <v>2852</v>
      </c>
      <c r="D178" s="55" t="s">
        <v>2853</v>
      </c>
      <c r="E178" s="55" t="s">
        <v>2854</v>
      </c>
      <c r="F178" s="55" t="s">
        <v>2672</v>
      </c>
      <c r="I178" s="55" t="s">
        <v>805</v>
      </c>
    </row>
    <row r="179" customFormat="false" ht="11.25" hidden="false" customHeight="true" outlineLevel="0" collapsed="false">
      <c r="A179" s="55" t="s">
        <v>2243</v>
      </c>
      <c r="B179" s="55" t="s">
        <v>16</v>
      </c>
      <c r="C179" s="55" t="s">
        <v>2855</v>
      </c>
      <c r="D179" s="55" t="s">
        <v>2856</v>
      </c>
      <c r="E179" s="55" t="s">
        <v>2857</v>
      </c>
      <c r="F179" s="55" t="s">
        <v>2558</v>
      </c>
      <c r="I179" s="55" t="s">
        <v>805</v>
      </c>
    </row>
    <row r="180" customFormat="false" ht="11.25" hidden="false" customHeight="true" outlineLevel="0" collapsed="false">
      <c r="A180" s="55" t="s">
        <v>2243</v>
      </c>
      <c r="B180" s="55" t="s">
        <v>16</v>
      </c>
      <c r="C180" s="55" t="s">
        <v>2858</v>
      </c>
      <c r="D180" s="55" t="s">
        <v>2859</v>
      </c>
      <c r="E180" s="55" t="s">
        <v>2860</v>
      </c>
      <c r="F180" s="55" t="s">
        <v>2566</v>
      </c>
      <c r="I180" s="55" t="s">
        <v>805</v>
      </c>
    </row>
    <row r="181" customFormat="false" ht="11.25" hidden="false" customHeight="true" outlineLevel="0" collapsed="false">
      <c r="A181" s="55" t="s">
        <v>2243</v>
      </c>
      <c r="B181" s="55" t="s">
        <v>16</v>
      </c>
      <c r="C181" s="55" t="s">
        <v>2861</v>
      </c>
      <c r="D181" s="55" t="s">
        <v>2862</v>
      </c>
      <c r="E181" s="55" t="s">
        <v>2863</v>
      </c>
      <c r="F181" s="55" t="s">
        <v>2333</v>
      </c>
      <c r="I181" s="55" t="s">
        <v>805</v>
      </c>
    </row>
    <row r="182" customFormat="false" ht="11.25" hidden="false" customHeight="true" outlineLevel="0" collapsed="false">
      <c r="A182" s="55" t="s">
        <v>2243</v>
      </c>
      <c r="B182" s="55" t="s">
        <v>16</v>
      </c>
      <c r="C182" s="55" t="s">
        <v>2864</v>
      </c>
      <c r="D182" s="55" t="s">
        <v>2865</v>
      </c>
      <c r="E182" s="55" t="s">
        <v>2866</v>
      </c>
      <c r="F182" s="55" t="s">
        <v>2347</v>
      </c>
      <c r="I182" s="55" t="s">
        <v>805</v>
      </c>
    </row>
    <row r="183" customFormat="false" ht="11.25" hidden="false" customHeight="true" outlineLevel="0" collapsed="false">
      <c r="A183" s="55" t="s">
        <v>2243</v>
      </c>
      <c r="B183" s="55" t="s">
        <v>16</v>
      </c>
      <c r="C183" s="55" t="s">
        <v>2867</v>
      </c>
      <c r="D183" s="55" t="s">
        <v>2868</v>
      </c>
      <c r="E183" s="55" t="s">
        <v>2869</v>
      </c>
      <c r="F183" s="55" t="s">
        <v>2716</v>
      </c>
      <c r="G183" s="55" t="s">
        <v>2870</v>
      </c>
      <c r="I183" s="55" t="s">
        <v>805</v>
      </c>
    </row>
    <row r="184" customFormat="false" ht="11.25" hidden="false" customHeight="true" outlineLevel="0" collapsed="false">
      <c r="A184" s="55" t="s">
        <v>2243</v>
      </c>
      <c r="B184" s="55" t="s">
        <v>16</v>
      </c>
      <c r="C184" s="55" t="s">
        <v>2871</v>
      </c>
      <c r="D184" s="55" t="s">
        <v>2872</v>
      </c>
      <c r="E184" s="55" t="s">
        <v>2873</v>
      </c>
      <c r="F184" s="55" t="s">
        <v>2338</v>
      </c>
      <c r="I184" s="55" t="s">
        <v>805</v>
      </c>
    </row>
    <row r="185" customFormat="false" ht="11.25" hidden="false" customHeight="true" outlineLevel="0" collapsed="false">
      <c r="A185" s="55" t="s">
        <v>2243</v>
      </c>
      <c r="B185" s="55" t="s">
        <v>16</v>
      </c>
      <c r="C185" s="55" t="s">
        <v>2874</v>
      </c>
      <c r="D185" s="55" t="s">
        <v>2875</v>
      </c>
      <c r="E185" s="55" t="s">
        <v>2876</v>
      </c>
      <c r="F185" s="55" t="s">
        <v>2558</v>
      </c>
      <c r="I185" s="55" t="s">
        <v>805</v>
      </c>
    </row>
    <row r="186" customFormat="false" ht="11.25" hidden="false" customHeight="true" outlineLevel="0" collapsed="false">
      <c r="A186" s="55" t="s">
        <v>2243</v>
      </c>
      <c r="B186" s="55" t="s">
        <v>16</v>
      </c>
      <c r="C186" s="55" t="s">
        <v>2877</v>
      </c>
      <c r="D186" s="55" t="s">
        <v>2878</v>
      </c>
      <c r="E186" s="55" t="s">
        <v>2879</v>
      </c>
      <c r="F186" s="55" t="s">
        <v>2283</v>
      </c>
      <c r="I186" s="55" t="s">
        <v>805</v>
      </c>
    </row>
    <row r="187" customFormat="false" ht="11.25" hidden="false" customHeight="true" outlineLevel="0" collapsed="false">
      <c r="A187" s="55" t="s">
        <v>2243</v>
      </c>
      <c r="B187" s="55" t="s">
        <v>16</v>
      </c>
      <c r="C187" s="55" t="s">
        <v>2880</v>
      </c>
      <c r="D187" s="55" t="s">
        <v>2881</v>
      </c>
      <c r="E187" s="55" t="s">
        <v>2882</v>
      </c>
      <c r="F187" s="55" t="s">
        <v>2274</v>
      </c>
      <c r="I187" s="55" t="s">
        <v>805</v>
      </c>
    </row>
    <row r="188" customFormat="false" ht="11.25" hidden="false" customHeight="true" outlineLevel="0" collapsed="false">
      <c r="A188" s="55" t="s">
        <v>2243</v>
      </c>
      <c r="B188" s="55" t="s">
        <v>16</v>
      </c>
      <c r="C188" s="55" t="s">
        <v>2883</v>
      </c>
      <c r="D188" s="55" t="s">
        <v>2884</v>
      </c>
      <c r="E188" s="55" t="s">
        <v>2885</v>
      </c>
      <c r="F188" s="55" t="s">
        <v>2886</v>
      </c>
      <c r="I188" s="55" t="s">
        <v>805</v>
      </c>
    </row>
    <row r="189" customFormat="false" ht="11.25" hidden="false" customHeight="true" outlineLevel="0" collapsed="false">
      <c r="A189" s="55" t="s">
        <v>2243</v>
      </c>
      <c r="B189" s="55" t="s">
        <v>16</v>
      </c>
      <c r="C189" s="55" t="s">
        <v>2887</v>
      </c>
      <c r="D189" s="55" t="s">
        <v>2888</v>
      </c>
      <c r="E189" s="55" t="s">
        <v>2889</v>
      </c>
      <c r="F189" s="55" t="s">
        <v>2890</v>
      </c>
      <c r="I189" s="55" t="s">
        <v>805</v>
      </c>
    </row>
    <row r="190" customFormat="false" ht="11.25" hidden="false" customHeight="true" outlineLevel="0" collapsed="false">
      <c r="A190" s="55" t="s">
        <v>2243</v>
      </c>
      <c r="B190" s="55" t="s">
        <v>16</v>
      </c>
      <c r="C190" s="55" t="s">
        <v>2891</v>
      </c>
      <c r="D190" s="55" t="s">
        <v>2892</v>
      </c>
      <c r="E190" s="55" t="s">
        <v>2893</v>
      </c>
      <c r="F190" s="55" t="s">
        <v>2894</v>
      </c>
      <c r="I190" s="55" t="s">
        <v>805</v>
      </c>
    </row>
    <row r="191" customFormat="false" ht="11.25" hidden="false" customHeight="true" outlineLevel="0" collapsed="false">
      <c r="A191" s="55" t="s">
        <v>2243</v>
      </c>
      <c r="B191" s="55" t="s">
        <v>16</v>
      </c>
      <c r="C191" s="55" t="s">
        <v>2895</v>
      </c>
      <c r="D191" s="55" t="s">
        <v>2896</v>
      </c>
      <c r="E191" s="55" t="s">
        <v>2897</v>
      </c>
      <c r="F191" s="55" t="s">
        <v>2898</v>
      </c>
      <c r="I191" s="55" t="s">
        <v>805</v>
      </c>
    </row>
    <row r="192" customFormat="false" ht="11.25" hidden="false" customHeight="true" outlineLevel="0" collapsed="false">
      <c r="A192" s="55" t="s">
        <v>2243</v>
      </c>
      <c r="B192" s="55" t="s">
        <v>16</v>
      </c>
      <c r="C192" s="55" t="s">
        <v>2899</v>
      </c>
      <c r="D192" s="55" t="s">
        <v>2900</v>
      </c>
      <c r="E192" s="55" t="s">
        <v>2901</v>
      </c>
      <c r="F192" s="55" t="s">
        <v>2672</v>
      </c>
      <c r="G192" s="55" t="s">
        <v>2902</v>
      </c>
      <c r="I192" s="55" t="s">
        <v>805</v>
      </c>
    </row>
    <row r="193" customFormat="false" ht="11.25" hidden="false" customHeight="true" outlineLevel="0" collapsed="false">
      <c r="A193" s="55" t="s">
        <v>2243</v>
      </c>
      <c r="B193" s="55" t="s">
        <v>16</v>
      </c>
      <c r="C193" s="55" t="s">
        <v>2903</v>
      </c>
      <c r="D193" s="55" t="s">
        <v>2904</v>
      </c>
      <c r="E193" s="55" t="s">
        <v>2905</v>
      </c>
      <c r="F193" s="55" t="s">
        <v>2672</v>
      </c>
      <c r="G193" s="55" t="s">
        <v>2906</v>
      </c>
      <c r="I193" s="55" t="s">
        <v>805</v>
      </c>
    </row>
    <row r="194" customFormat="false" ht="11.25" hidden="false" customHeight="true" outlineLevel="0" collapsed="false">
      <c r="A194" s="55" t="s">
        <v>2243</v>
      </c>
      <c r="B194" s="55" t="s">
        <v>16</v>
      </c>
      <c r="C194" s="55" t="s">
        <v>2907</v>
      </c>
      <c r="D194" s="55" t="s">
        <v>2908</v>
      </c>
      <c r="E194" s="55" t="s">
        <v>2909</v>
      </c>
      <c r="F194" s="55" t="s">
        <v>2672</v>
      </c>
      <c r="G194" s="55" t="s">
        <v>2910</v>
      </c>
      <c r="I194" s="55" t="s">
        <v>805</v>
      </c>
    </row>
    <row r="195" customFormat="false" ht="11.25" hidden="false" customHeight="true" outlineLevel="0" collapsed="false">
      <c r="A195" s="55" t="s">
        <v>2243</v>
      </c>
      <c r="B195" s="55" t="s">
        <v>16</v>
      </c>
      <c r="C195" s="55" t="s">
        <v>2911</v>
      </c>
      <c r="D195" s="55" t="s">
        <v>2912</v>
      </c>
      <c r="E195" s="55" t="s">
        <v>2913</v>
      </c>
      <c r="F195" s="55" t="s">
        <v>2672</v>
      </c>
      <c r="G195" s="55" t="s">
        <v>2914</v>
      </c>
      <c r="I195" s="55" t="s">
        <v>805</v>
      </c>
    </row>
    <row r="196" customFormat="false" ht="11.25" hidden="false" customHeight="true" outlineLevel="0" collapsed="false">
      <c r="A196" s="55" t="s">
        <v>2243</v>
      </c>
      <c r="B196" s="55" t="s">
        <v>16</v>
      </c>
      <c r="C196" s="55" t="s">
        <v>2915</v>
      </c>
      <c r="D196" s="55" t="s">
        <v>2916</v>
      </c>
      <c r="E196" s="55" t="s">
        <v>2917</v>
      </c>
      <c r="F196" s="55" t="s">
        <v>2672</v>
      </c>
      <c r="I196" s="55" t="s">
        <v>805</v>
      </c>
    </row>
    <row r="197" customFormat="false" ht="11.25" hidden="false" customHeight="true" outlineLevel="0" collapsed="false">
      <c r="A197" s="55" t="s">
        <v>2243</v>
      </c>
      <c r="B197" s="55" t="s">
        <v>16</v>
      </c>
      <c r="C197" s="55" t="s">
        <v>2918</v>
      </c>
      <c r="D197" s="55" t="s">
        <v>2919</v>
      </c>
      <c r="E197" s="55" t="s">
        <v>2920</v>
      </c>
      <c r="F197" s="55" t="s">
        <v>2898</v>
      </c>
      <c r="I197" s="55" t="s">
        <v>805</v>
      </c>
    </row>
    <row r="198" customFormat="false" ht="11.25" hidden="false" customHeight="true" outlineLevel="0" collapsed="false">
      <c r="A198" s="55" t="s">
        <v>2243</v>
      </c>
      <c r="B198" s="55" t="s">
        <v>16</v>
      </c>
      <c r="C198" s="55" t="s">
        <v>2921</v>
      </c>
      <c r="D198" s="55" t="s">
        <v>2922</v>
      </c>
      <c r="E198" s="55" t="s">
        <v>2923</v>
      </c>
      <c r="F198" s="55" t="s">
        <v>2898</v>
      </c>
      <c r="I198" s="55" t="s">
        <v>805</v>
      </c>
    </row>
    <row r="199" customFormat="false" ht="11.25" hidden="false" customHeight="true" outlineLevel="0" collapsed="false">
      <c r="A199" s="55" t="s">
        <v>2243</v>
      </c>
      <c r="B199" s="55" t="s">
        <v>16</v>
      </c>
      <c r="C199" s="55" t="s">
        <v>2924</v>
      </c>
      <c r="D199" s="55" t="s">
        <v>2925</v>
      </c>
      <c r="E199" s="55" t="s">
        <v>2926</v>
      </c>
      <c r="F199" s="55" t="s">
        <v>2898</v>
      </c>
      <c r="I199" s="55" t="s">
        <v>805</v>
      </c>
    </row>
    <row r="200" customFormat="false" ht="11.25" hidden="false" customHeight="true" outlineLevel="0" collapsed="false">
      <c r="A200" s="55" t="s">
        <v>2243</v>
      </c>
      <c r="B200" s="55" t="s">
        <v>16</v>
      </c>
      <c r="C200" s="55" t="s">
        <v>2927</v>
      </c>
      <c r="D200" s="55" t="s">
        <v>2928</v>
      </c>
      <c r="E200" s="55" t="s">
        <v>2929</v>
      </c>
      <c r="F200" s="55" t="s">
        <v>2333</v>
      </c>
      <c r="G200" s="55" t="s">
        <v>2930</v>
      </c>
      <c r="I200" s="55" t="s">
        <v>805</v>
      </c>
    </row>
    <row r="201" customFormat="false" ht="11.25" hidden="false" customHeight="true" outlineLevel="0" collapsed="false">
      <c r="A201" s="55" t="s">
        <v>2243</v>
      </c>
      <c r="B201" s="55" t="s">
        <v>16</v>
      </c>
      <c r="C201" s="55" t="s">
        <v>2931</v>
      </c>
      <c r="D201" s="55" t="s">
        <v>2932</v>
      </c>
      <c r="E201" s="55" t="s">
        <v>2933</v>
      </c>
      <c r="F201" s="55" t="s">
        <v>2333</v>
      </c>
      <c r="I201" s="55" t="s">
        <v>805</v>
      </c>
    </row>
    <row r="202" customFormat="false" ht="11.25" hidden="false" customHeight="true" outlineLevel="0" collapsed="false">
      <c r="A202" s="55" t="s">
        <v>2243</v>
      </c>
      <c r="B202" s="55" t="s">
        <v>16</v>
      </c>
      <c r="C202" s="55" t="s">
        <v>2934</v>
      </c>
      <c r="D202" s="55" t="s">
        <v>2935</v>
      </c>
      <c r="E202" s="55" t="s">
        <v>2936</v>
      </c>
      <c r="F202" s="55" t="s">
        <v>2247</v>
      </c>
      <c r="G202" s="55" t="s">
        <v>2937</v>
      </c>
      <c r="I202" s="55" t="s">
        <v>805</v>
      </c>
    </row>
    <row r="203" customFormat="false" ht="11.25" hidden="false" customHeight="true" outlineLevel="0" collapsed="false">
      <c r="A203" s="55" t="s">
        <v>2243</v>
      </c>
      <c r="B203" s="55" t="s">
        <v>16</v>
      </c>
      <c r="C203" s="55" t="s">
        <v>2938</v>
      </c>
      <c r="D203" s="55" t="s">
        <v>2939</v>
      </c>
      <c r="E203" s="55" t="s">
        <v>2940</v>
      </c>
      <c r="F203" s="55" t="s">
        <v>2566</v>
      </c>
      <c r="I203" s="55" t="s">
        <v>805</v>
      </c>
    </row>
    <row r="204" customFormat="false" ht="11.25" hidden="false" customHeight="true" outlineLevel="0" collapsed="false">
      <c r="A204" s="55" t="s">
        <v>2243</v>
      </c>
      <c r="B204" s="55" t="s">
        <v>16</v>
      </c>
      <c r="C204" s="55" t="s">
        <v>2941</v>
      </c>
      <c r="D204" s="55" t="s">
        <v>2942</v>
      </c>
      <c r="E204" s="55" t="s">
        <v>2943</v>
      </c>
      <c r="F204" s="55" t="s">
        <v>2342</v>
      </c>
      <c r="G204" s="55" t="s">
        <v>2944</v>
      </c>
      <c r="I204" s="55" t="s">
        <v>805</v>
      </c>
    </row>
    <row r="205" customFormat="false" ht="11.25" hidden="false" customHeight="true" outlineLevel="0" collapsed="false">
      <c r="A205" s="55" t="s">
        <v>2243</v>
      </c>
      <c r="B205" s="55" t="s">
        <v>16</v>
      </c>
      <c r="C205" s="55" t="s">
        <v>2945</v>
      </c>
      <c r="D205" s="55" t="s">
        <v>2946</v>
      </c>
      <c r="E205" s="55" t="s">
        <v>2947</v>
      </c>
      <c r="F205" s="55" t="s">
        <v>2566</v>
      </c>
      <c r="I205" s="55" t="s">
        <v>805</v>
      </c>
    </row>
    <row r="206" customFormat="false" ht="11.25" hidden="false" customHeight="true" outlineLevel="0" collapsed="false">
      <c r="A206" s="55" t="s">
        <v>2243</v>
      </c>
      <c r="B206" s="55" t="s">
        <v>16</v>
      </c>
      <c r="C206" s="55" t="s">
        <v>2948</v>
      </c>
      <c r="D206" s="55" t="s">
        <v>2949</v>
      </c>
      <c r="E206" s="55" t="s">
        <v>2950</v>
      </c>
      <c r="F206" s="55" t="s">
        <v>2283</v>
      </c>
      <c r="G206" s="55" t="s">
        <v>2951</v>
      </c>
      <c r="I206" s="55" t="s">
        <v>805</v>
      </c>
    </row>
    <row r="207" customFormat="false" ht="11.25" hidden="false" customHeight="true" outlineLevel="0" collapsed="false">
      <c r="A207" s="55" t="s">
        <v>2243</v>
      </c>
      <c r="B207" s="55" t="s">
        <v>16</v>
      </c>
      <c r="C207" s="55" t="s">
        <v>2952</v>
      </c>
      <c r="D207" s="55" t="s">
        <v>2953</v>
      </c>
      <c r="E207" s="55" t="s">
        <v>2954</v>
      </c>
      <c r="F207" s="55" t="s">
        <v>2333</v>
      </c>
      <c r="G207" s="55" t="s">
        <v>2955</v>
      </c>
      <c r="I207" s="55" t="s">
        <v>805</v>
      </c>
    </row>
    <row r="208" customFormat="false" ht="11.25" hidden="false" customHeight="true" outlineLevel="0" collapsed="false">
      <c r="A208" s="55" t="s">
        <v>2243</v>
      </c>
      <c r="B208" s="55" t="s">
        <v>16</v>
      </c>
      <c r="C208" s="55" t="s">
        <v>2956</v>
      </c>
      <c r="D208" s="55" t="s">
        <v>2957</v>
      </c>
      <c r="E208" s="55" t="s">
        <v>2958</v>
      </c>
      <c r="F208" s="55" t="s">
        <v>2959</v>
      </c>
      <c r="I208" s="55" t="s">
        <v>805</v>
      </c>
    </row>
    <row r="209" customFormat="false" ht="11.25" hidden="false" customHeight="true" outlineLevel="0" collapsed="false">
      <c r="A209" s="55" t="s">
        <v>2243</v>
      </c>
      <c r="B209" s="55" t="s">
        <v>16</v>
      </c>
      <c r="C209" s="55" t="s">
        <v>2960</v>
      </c>
      <c r="D209" s="55" t="s">
        <v>2961</v>
      </c>
      <c r="E209" s="55" t="s">
        <v>2962</v>
      </c>
      <c r="F209" s="55" t="s">
        <v>2470</v>
      </c>
      <c r="G209" s="55" t="s">
        <v>2963</v>
      </c>
      <c r="I209" s="55" t="s">
        <v>805</v>
      </c>
    </row>
    <row r="210" customFormat="false" ht="11.25" hidden="false" customHeight="true" outlineLevel="0" collapsed="false">
      <c r="A210" s="55" t="s">
        <v>2243</v>
      </c>
      <c r="B210" s="55" t="s">
        <v>16</v>
      </c>
      <c r="C210" s="55" t="s">
        <v>2964</v>
      </c>
      <c r="D210" s="55" t="s">
        <v>2965</v>
      </c>
      <c r="E210" s="55" t="s">
        <v>2966</v>
      </c>
      <c r="F210" s="55" t="s">
        <v>2309</v>
      </c>
      <c r="I210" s="55" t="s">
        <v>805</v>
      </c>
    </row>
    <row r="211" customFormat="false" ht="11.25" hidden="false" customHeight="true" outlineLevel="0" collapsed="false">
      <c r="A211" s="55" t="s">
        <v>2243</v>
      </c>
      <c r="B211" s="55" t="s">
        <v>16</v>
      </c>
      <c r="C211" s="55" t="s">
        <v>2967</v>
      </c>
      <c r="D211" s="55" t="s">
        <v>2968</v>
      </c>
      <c r="E211" s="55" t="s">
        <v>2969</v>
      </c>
      <c r="F211" s="55" t="s">
        <v>2274</v>
      </c>
      <c r="I211" s="55" t="s">
        <v>805</v>
      </c>
    </row>
    <row r="212" customFormat="false" ht="11.25" hidden="false" customHeight="true" outlineLevel="0" collapsed="false">
      <c r="A212" s="55" t="s">
        <v>2243</v>
      </c>
      <c r="B212" s="55" t="s">
        <v>16</v>
      </c>
      <c r="C212" s="55" t="s">
        <v>2970</v>
      </c>
      <c r="D212" s="55" t="s">
        <v>2971</v>
      </c>
      <c r="E212" s="55" t="s">
        <v>2972</v>
      </c>
      <c r="F212" s="55" t="s">
        <v>2338</v>
      </c>
      <c r="I212" s="55" t="s">
        <v>805</v>
      </c>
    </row>
    <row r="213" customFormat="false" ht="11.25" hidden="false" customHeight="true" outlineLevel="0" collapsed="false">
      <c r="A213" s="55" t="s">
        <v>2243</v>
      </c>
      <c r="B213" s="55" t="s">
        <v>16</v>
      </c>
      <c r="C213" s="55" t="s">
        <v>2973</v>
      </c>
      <c r="D213" s="55" t="s">
        <v>2974</v>
      </c>
      <c r="E213" s="55" t="s">
        <v>2975</v>
      </c>
      <c r="F213" s="55" t="s">
        <v>2338</v>
      </c>
      <c r="G213" s="55" t="s">
        <v>2976</v>
      </c>
      <c r="I213" s="55" t="s">
        <v>805</v>
      </c>
    </row>
    <row r="214" customFormat="false" ht="11.25" hidden="false" customHeight="true" outlineLevel="0" collapsed="false">
      <c r="A214" s="55" t="s">
        <v>2243</v>
      </c>
      <c r="B214" s="55" t="s">
        <v>16</v>
      </c>
      <c r="C214" s="55" t="s">
        <v>2977</v>
      </c>
      <c r="D214" s="55" t="s">
        <v>2978</v>
      </c>
      <c r="E214" s="55" t="s">
        <v>2979</v>
      </c>
      <c r="F214" s="55" t="s">
        <v>2709</v>
      </c>
      <c r="G214" s="55" t="s">
        <v>2980</v>
      </c>
      <c r="I214" s="55" t="s">
        <v>805</v>
      </c>
    </row>
    <row r="215" customFormat="false" ht="11.25" hidden="false" customHeight="true" outlineLevel="0" collapsed="false">
      <c r="A215" s="55" t="s">
        <v>2243</v>
      </c>
      <c r="B215" s="55" t="s">
        <v>16</v>
      </c>
      <c r="C215" s="55" t="s">
        <v>2981</v>
      </c>
      <c r="D215" s="55" t="s">
        <v>2982</v>
      </c>
      <c r="E215" s="55" t="s">
        <v>2983</v>
      </c>
      <c r="F215" s="55" t="s">
        <v>2672</v>
      </c>
      <c r="I215" s="55" t="s">
        <v>805</v>
      </c>
    </row>
    <row r="216" customFormat="false" ht="11.25" hidden="false" customHeight="true" outlineLevel="0" collapsed="false">
      <c r="A216" s="55" t="s">
        <v>2243</v>
      </c>
      <c r="B216" s="55" t="s">
        <v>16</v>
      </c>
      <c r="C216" s="55" t="s">
        <v>2984</v>
      </c>
      <c r="D216" s="55" t="s">
        <v>2985</v>
      </c>
      <c r="E216" s="55" t="s">
        <v>2986</v>
      </c>
      <c r="F216" s="55" t="s">
        <v>2338</v>
      </c>
      <c r="I216" s="55" t="s">
        <v>805</v>
      </c>
    </row>
    <row r="217" customFormat="false" ht="11.25" hidden="false" customHeight="true" outlineLevel="0" collapsed="false">
      <c r="A217" s="55" t="s">
        <v>2243</v>
      </c>
      <c r="B217" s="55" t="s">
        <v>16</v>
      </c>
      <c r="C217" s="55" t="s">
        <v>2987</v>
      </c>
      <c r="D217" s="55" t="s">
        <v>2988</v>
      </c>
      <c r="E217" s="55" t="s">
        <v>2989</v>
      </c>
      <c r="F217" s="55" t="s">
        <v>2274</v>
      </c>
      <c r="G217" s="55" t="s">
        <v>2990</v>
      </c>
      <c r="I217" s="55" t="s">
        <v>805</v>
      </c>
    </row>
    <row r="218" customFormat="false" ht="11.25" hidden="false" customHeight="true" outlineLevel="0" collapsed="false">
      <c r="A218" s="55" t="s">
        <v>2243</v>
      </c>
      <c r="B218" s="55" t="s">
        <v>16</v>
      </c>
      <c r="C218" s="55" t="s">
        <v>2991</v>
      </c>
      <c r="D218" s="55" t="s">
        <v>2992</v>
      </c>
      <c r="E218" s="55" t="s">
        <v>2993</v>
      </c>
      <c r="F218" s="55" t="s">
        <v>2566</v>
      </c>
      <c r="G218" s="55" t="s">
        <v>2994</v>
      </c>
      <c r="I218" s="55" t="s">
        <v>805</v>
      </c>
    </row>
    <row r="219" customFormat="false" ht="11.25" hidden="false" customHeight="true" outlineLevel="0" collapsed="false">
      <c r="A219" s="55" t="s">
        <v>2243</v>
      </c>
      <c r="B219" s="55" t="s">
        <v>16</v>
      </c>
      <c r="C219" s="55" t="s">
        <v>2995</v>
      </c>
      <c r="D219" s="55" t="s">
        <v>2996</v>
      </c>
      <c r="E219" s="55" t="s">
        <v>2997</v>
      </c>
      <c r="F219" s="55" t="s">
        <v>2566</v>
      </c>
      <c r="G219" s="55" t="s">
        <v>2998</v>
      </c>
      <c r="I219" s="55" t="s">
        <v>805</v>
      </c>
    </row>
    <row r="220" customFormat="false" ht="11.25" hidden="false" customHeight="true" outlineLevel="0" collapsed="false">
      <c r="A220" s="55" t="s">
        <v>2243</v>
      </c>
      <c r="B220" s="55" t="s">
        <v>16</v>
      </c>
      <c r="C220" s="55" t="s">
        <v>2999</v>
      </c>
      <c r="D220" s="55" t="s">
        <v>3000</v>
      </c>
      <c r="E220" s="55" t="s">
        <v>3001</v>
      </c>
      <c r="F220" s="55" t="s">
        <v>2558</v>
      </c>
      <c r="I220" s="55" t="s">
        <v>805</v>
      </c>
    </row>
    <row r="221" customFormat="false" ht="11.25" hidden="false" customHeight="true" outlineLevel="0" collapsed="false">
      <c r="A221" s="55" t="s">
        <v>2243</v>
      </c>
      <c r="B221" s="55" t="s">
        <v>16</v>
      </c>
      <c r="C221" s="55" t="s">
        <v>3002</v>
      </c>
      <c r="D221" s="55" t="s">
        <v>3003</v>
      </c>
      <c r="E221" s="55" t="s">
        <v>3004</v>
      </c>
      <c r="F221" s="55" t="s">
        <v>2672</v>
      </c>
      <c r="G221" s="55" t="s">
        <v>3005</v>
      </c>
      <c r="I221" s="55" t="s">
        <v>805</v>
      </c>
    </row>
    <row r="222" customFormat="false" ht="11.25" hidden="false" customHeight="true" outlineLevel="0" collapsed="false">
      <c r="A222" s="55" t="s">
        <v>2243</v>
      </c>
      <c r="B222" s="55" t="s">
        <v>16</v>
      </c>
      <c r="C222" s="55" t="s">
        <v>3006</v>
      </c>
      <c r="D222" s="55" t="s">
        <v>3007</v>
      </c>
      <c r="E222" s="55" t="s">
        <v>3008</v>
      </c>
      <c r="F222" s="55" t="s">
        <v>2342</v>
      </c>
      <c r="G222" s="55" t="s">
        <v>3009</v>
      </c>
      <c r="I222" s="55" t="s">
        <v>805</v>
      </c>
    </row>
    <row r="223" customFormat="false" ht="11.25" hidden="false" customHeight="true" outlineLevel="0" collapsed="false">
      <c r="A223" s="55" t="s">
        <v>2243</v>
      </c>
      <c r="B223" s="55" t="s">
        <v>16</v>
      </c>
      <c r="C223" s="55" t="s">
        <v>3010</v>
      </c>
      <c r="D223" s="55" t="s">
        <v>3011</v>
      </c>
      <c r="E223" s="55" t="s">
        <v>3012</v>
      </c>
      <c r="F223" s="55" t="s">
        <v>2274</v>
      </c>
      <c r="I223" s="55" t="s">
        <v>805</v>
      </c>
    </row>
    <row r="224" customFormat="false" ht="11.25" hidden="false" customHeight="true" outlineLevel="0" collapsed="false">
      <c r="A224" s="55" t="s">
        <v>2243</v>
      </c>
      <c r="B224" s="55" t="s">
        <v>16</v>
      </c>
      <c r="C224" s="55" t="s">
        <v>3013</v>
      </c>
      <c r="D224" s="55" t="s">
        <v>3014</v>
      </c>
      <c r="E224" s="55" t="s">
        <v>3015</v>
      </c>
      <c r="F224" s="55" t="s">
        <v>2333</v>
      </c>
      <c r="I224" s="55" t="s">
        <v>805</v>
      </c>
    </row>
    <row r="225" customFormat="false" ht="11.25" hidden="false" customHeight="true" outlineLevel="0" collapsed="false">
      <c r="A225" s="55" t="s">
        <v>2243</v>
      </c>
      <c r="B225" s="55" t="s">
        <v>16</v>
      </c>
      <c r="C225" s="55" t="s">
        <v>3016</v>
      </c>
      <c r="D225" s="55" t="s">
        <v>3017</v>
      </c>
      <c r="E225" s="55" t="s">
        <v>3018</v>
      </c>
      <c r="F225" s="55" t="s">
        <v>3019</v>
      </c>
      <c r="I225" s="55" t="s">
        <v>805</v>
      </c>
    </row>
    <row r="226" customFormat="false" ht="11.25" hidden="false" customHeight="true" outlineLevel="0" collapsed="false">
      <c r="A226" s="55" t="s">
        <v>2243</v>
      </c>
      <c r="B226" s="55" t="s">
        <v>16</v>
      </c>
      <c r="C226" s="55" t="s">
        <v>3020</v>
      </c>
      <c r="D226" s="55" t="s">
        <v>3021</v>
      </c>
      <c r="E226" s="55" t="s">
        <v>3022</v>
      </c>
      <c r="F226" s="55" t="s">
        <v>2283</v>
      </c>
      <c r="G226" s="55" t="s">
        <v>3023</v>
      </c>
      <c r="I226" s="55" t="s">
        <v>805</v>
      </c>
    </row>
    <row r="227" customFormat="false" ht="11.25" hidden="false" customHeight="true" outlineLevel="0" collapsed="false">
      <c r="A227" s="55" t="s">
        <v>2243</v>
      </c>
      <c r="B227" s="55" t="s">
        <v>16</v>
      </c>
      <c r="C227" s="55" t="s">
        <v>3024</v>
      </c>
      <c r="D227" s="55" t="s">
        <v>3025</v>
      </c>
      <c r="E227" s="55" t="s">
        <v>3026</v>
      </c>
      <c r="F227" s="55" t="s">
        <v>2342</v>
      </c>
      <c r="G227" s="55" t="s">
        <v>3027</v>
      </c>
      <c r="I227" s="55" t="s">
        <v>805</v>
      </c>
    </row>
    <row r="228" customFormat="false" ht="11.25" hidden="false" customHeight="true" outlineLevel="0" collapsed="false">
      <c r="A228" s="55" t="s">
        <v>2243</v>
      </c>
      <c r="B228" s="55" t="s">
        <v>16</v>
      </c>
      <c r="C228" s="55" t="s">
        <v>3028</v>
      </c>
      <c r="D228" s="55" t="s">
        <v>3029</v>
      </c>
      <c r="E228" s="55" t="s">
        <v>3030</v>
      </c>
      <c r="F228" s="55" t="s">
        <v>2566</v>
      </c>
      <c r="G228" s="55" t="s">
        <v>3031</v>
      </c>
      <c r="I228" s="55" t="s">
        <v>805</v>
      </c>
    </row>
    <row r="229" customFormat="false" ht="11.25" hidden="false" customHeight="true" outlineLevel="0" collapsed="false">
      <c r="A229" s="55" t="s">
        <v>2243</v>
      </c>
      <c r="B229" s="55" t="s">
        <v>16</v>
      </c>
      <c r="C229" s="55" t="s">
        <v>3032</v>
      </c>
      <c r="D229" s="55" t="s">
        <v>3033</v>
      </c>
      <c r="E229" s="55" t="s">
        <v>3034</v>
      </c>
      <c r="F229" s="55" t="s">
        <v>2283</v>
      </c>
      <c r="G229" s="55" t="s">
        <v>3035</v>
      </c>
      <c r="I229" s="55" t="s">
        <v>805</v>
      </c>
    </row>
    <row r="230" customFormat="false" ht="11.25" hidden="false" customHeight="true" outlineLevel="0" collapsed="false">
      <c r="A230" s="55" t="s">
        <v>2243</v>
      </c>
      <c r="B230" s="55" t="s">
        <v>16</v>
      </c>
      <c r="C230" s="55" t="s">
        <v>3036</v>
      </c>
      <c r="D230" s="55" t="s">
        <v>3037</v>
      </c>
      <c r="E230" s="55" t="s">
        <v>3038</v>
      </c>
      <c r="F230" s="55" t="s">
        <v>2274</v>
      </c>
      <c r="G230" s="55" t="s">
        <v>3039</v>
      </c>
      <c r="I230" s="55" t="s">
        <v>805</v>
      </c>
    </row>
    <row r="231" customFormat="false" ht="11.25" hidden="false" customHeight="true" outlineLevel="0" collapsed="false">
      <c r="A231" s="55" t="s">
        <v>2243</v>
      </c>
      <c r="B231" s="55" t="s">
        <v>16</v>
      </c>
      <c r="C231" s="55" t="s">
        <v>3040</v>
      </c>
      <c r="D231" s="55" t="s">
        <v>3041</v>
      </c>
      <c r="E231" s="55" t="s">
        <v>3042</v>
      </c>
      <c r="F231" s="55" t="s">
        <v>2274</v>
      </c>
      <c r="G231" s="55" t="s">
        <v>2994</v>
      </c>
      <c r="I231" s="55" t="s">
        <v>805</v>
      </c>
    </row>
    <row r="232" customFormat="false" ht="11.25" hidden="false" customHeight="true" outlineLevel="0" collapsed="false">
      <c r="A232" s="55" t="s">
        <v>2243</v>
      </c>
      <c r="B232" s="55" t="s">
        <v>16</v>
      </c>
      <c r="C232" s="55" t="s">
        <v>3043</v>
      </c>
      <c r="D232" s="55" t="s">
        <v>3044</v>
      </c>
      <c r="E232" s="55" t="s">
        <v>3045</v>
      </c>
      <c r="F232" s="55" t="s">
        <v>2274</v>
      </c>
      <c r="G232" s="55" t="s">
        <v>3046</v>
      </c>
      <c r="I232" s="55" t="s">
        <v>805</v>
      </c>
    </row>
    <row r="233" customFormat="false" ht="11.25" hidden="false" customHeight="true" outlineLevel="0" collapsed="false">
      <c r="A233" s="55" t="s">
        <v>2243</v>
      </c>
      <c r="B233" s="55" t="s">
        <v>16</v>
      </c>
      <c r="C233" s="55" t="s">
        <v>3047</v>
      </c>
      <c r="D233" s="55" t="s">
        <v>3048</v>
      </c>
      <c r="E233" s="55" t="s">
        <v>3049</v>
      </c>
      <c r="F233" s="55" t="s">
        <v>2283</v>
      </c>
      <c r="I233" s="55" t="s">
        <v>805</v>
      </c>
    </row>
    <row r="234" customFormat="false" ht="11.25" hidden="false" customHeight="true" outlineLevel="0" collapsed="false">
      <c r="A234" s="55" t="s">
        <v>2243</v>
      </c>
      <c r="B234" s="55" t="s">
        <v>16</v>
      </c>
      <c r="C234" s="55" t="s">
        <v>3050</v>
      </c>
      <c r="D234" s="55" t="s">
        <v>3051</v>
      </c>
      <c r="E234" s="55" t="s">
        <v>3052</v>
      </c>
      <c r="F234" s="55" t="s">
        <v>2338</v>
      </c>
      <c r="G234" s="55" t="s">
        <v>3053</v>
      </c>
      <c r="I234" s="55" t="s">
        <v>805</v>
      </c>
    </row>
    <row r="235" customFormat="false" ht="11.25" hidden="false" customHeight="true" outlineLevel="0" collapsed="false">
      <c r="A235" s="55" t="s">
        <v>2243</v>
      </c>
      <c r="B235" s="55" t="s">
        <v>16</v>
      </c>
      <c r="C235" s="55" t="s">
        <v>3054</v>
      </c>
      <c r="D235" s="55" t="s">
        <v>3055</v>
      </c>
      <c r="E235" s="55" t="s">
        <v>3056</v>
      </c>
      <c r="F235" s="55" t="s">
        <v>2338</v>
      </c>
      <c r="G235" s="55" t="s">
        <v>3057</v>
      </c>
      <c r="I235" s="55" t="s">
        <v>805</v>
      </c>
    </row>
    <row r="236" customFormat="false" ht="11.25" hidden="false" customHeight="true" outlineLevel="0" collapsed="false">
      <c r="A236" s="55" t="s">
        <v>2243</v>
      </c>
      <c r="B236" s="55" t="s">
        <v>16</v>
      </c>
      <c r="C236" s="55" t="s">
        <v>3058</v>
      </c>
      <c r="D236" s="55" t="s">
        <v>3059</v>
      </c>
      <c r="E236" s="55" t="s">
        <v>3060</v>
      </c>
      <c r="F236" s="55" t="s">
        <v>2672</v>
      </c>
      <c r="G236" s="55" t="s">
        <v>3061</v>
      </c>
      <c r="I236" s="55" t="s">
        <v>805</v>
      </c>
    </row>
    <row r="237" customFormat="false" ht="11.25" hidden="false" customHeight="true" outlineLevel="0" collapsed="false">
      <c r="A237" s="55" t="s">
        <v>2243</v>
      </c>
      <c r="B237" s="55" t="s">
        <v>16</v>
      </c>
      <c r="C237" s="55" t="s">
        <v>3062</v>
      </c>
      <c r="D237" s="55" t="s">
        <v>3063</v>
      </c>
      <c r="E237" s="55" t="s">
        <v>3064</v>
      </c>
      <c r="F237" s="55" t="s">
        <v>2309</v>
      </c>
      <c r="G237" s="55" t="s">
        <v>3065</v>
      </c>
      <c r="I237" s="55" t="s">
        <v>805</v>
      </c>
    </row>
    <row r="238" customFormat="false" ht="11.25" hidden="false" customHeight="true" outlineLevel="0" collapsed="false">
      <c r="A238" s="55" t="s">
        <v>2243</v>
      </c>
      <c r="B238" s="55" t="s">
        <v>16</v>
      </c>
      <c r="C238" s="55" t="s">
        <v>3066</v>
      </c>
      <c r="D238" s="55" t="s">
        <v>3067</v>
      </c>
      <c r="E238" s="55" t="s">
        <v>3068</v>
      </c>
      <c r="F238" s="55" t="s">
        <v>2566</v>
      </c>
      <c r="I238" s="55" t="s">
        <v>805</v>
      </c>
    </row>
    <row r="239" customFormat="false" ht="11.25" hidden="false" customHeight="true" outlineLevel="0" collapsed="false">
      <c r="A239" s="55" t="s">
        <v>2243</v>
      </c>
      <c r="B239" s="55" t="s">
        <v>16</v>
      </c>
      <c r="C239" s="55" t="s">
        <v>3069</v>
      </c>
      <c r="D239" s="55" t="s">
        <v>3070</v>
      </c>
      <c r="E239" s="55" t="s">
        <v>3071</v>
      </c>
      <c r="F239" s="55" t="s">
        <v>2387</v>
      </c>
      <c r="G239" s="55" t="s">
        <v>3072</v>
      </c>
      <c r="I239" s="55" t="s">
        <v>805</v>
      </c>
    </row>
    <row r="240" customFormat="false" ht="11.25" hidden="false" customHeight="true" outlineLevel="0" collapsed="false">
      <c r="A240" s="55" t="s">
        <v>2243</v>
      </c>
      <c r="B240" s="55" t="s">
        <v>16</v>
      </c>
      <c r="C240" s="55" t="s">
        <v>3073</v>
      </c>
      <c r="D240" s="55" t="s">
        <v>3074</v>
      </c>
      <c r="E240" s="55" t="s">
        <v>3075</v>
      </c>
      <c r="F240" s="55" t="s">
        <v>3076</v>
      </c>
      <c r="G240" s="55" t="s">
        <v>3077</v>
      </c>
      <c r="I240" s="55" t="s">
        <v>805</v>
      </c>
    </row>
    <row r="241" customFormat="false" ht="11.25" hidden="false" customHeight="true" outlineLevel="0" collapsed="false">
      <c r="A241" s="55" t="s">
        <v>2243</v>
      </c>
      <c r="B241" s="55" t="s">
        <v>16</v>
      </c>
      <c r="C241" s="55" t="s">
        <v>3078</v>
      </c>
      <c r="D241" s="55" t="s">
        <v>3079</v>
      </c>
      <c r="E241" s="55" t="s">
        <v>3080</v>
      </c>
      <c r="F241" s="55" t="s">
        <v>2371</v>
      </c>
      <c r="I241" s="55" t="s">
        <v>805</v>
      </c>
    </row>
    <row r="242" customFormat="false" ht="11.25" hidden="false" customHeight="true" outlineLevel="0" collapsed="false">
      <c r="A242" s="55" t="s">
        <v>2243</v>
      </c>
      <c r="B242" s="55" t="s">
        <v>16</v>
      </c>
      <c r="C242" s="55" t="s">
        <v>3081</v>
      </c>
      <c r="D242" s="55" t="s">
        <v>3082</v>
      </c>
      <c r="E242" s="55" t="s">
        <v>3083</v>
      </c>
      <c r="F242" s="55" t="s">
        <v>2342</v>
      </c>
      <c r="G242" s="55" t="s">
        <v>3084</v>
      </c>
      <c r="I242" s="55" t="s">
        <v>805</v>
      </c>
    </row>
    <row r="243" customFormat="false" ht="11.25" hidden="false" customHeight="true" outlineLevel="0" collapsed="false">
      <c r="A243" s="55" t="s">
        <v>2243</v>
      </c>
      <c r="B243" s="55" t="s">
        <v>16</v>
      </c>
      <c r="C243" s="55" t="s">
        <v>3085</v>
      </c>
      <c r="D243" s="55" t="s">
        <v>3086</v>
      </c>
      <c r="E243" s="55" t="s">
        <v>3087</v>
      </c>
      <c r="F243" s="55" t="s">
        <v>2338</v>
      </c>
      <c r="G243" s="55" t="s">
        <v>3088</v>
      </c>
      <c r="I243" s="55" t="s">
        <v>805</v>
      </c>
    </row>
    <row r="244" customFormat="false" ht="11.25" hidden="false" customHeight="true" outlineLevel="0" collapsed="false">
      <c r="A244" s="55" t="s">
        <v>2243</v>
      </c>
      <c r="B244" s="55" t="s">
        <v>16</v>
      </c>
      <c r="C244" s="55" t="s">
        <v>3089</v>
      </c>
      <c r="D244" s="55" t="s">
        <v>3090</v>
      </c>
      <c r="E244" s="55" t="s">
        <v>3091</v>
      </c>
      <c r="F244" s="55" t="s">
        <v>2338</v>
      </c>
      <c r="G244" s="55" t="s">
        <v>3092</v>
      </c>
      <c r="I244" s="55" t="s">
        <v>805</v>
      </c>
    </row>
    <row r="245" customFormat="false" ht="11.25" hidden="false" customHeight="true" outlineLevel="0" collapsed="false">
      <c r="A245" s="55" t="s">
        <v>2243</v>
      </c>
      <c r="B245" s="55" t="s">
        <v>16</v>
      </c>
      <c r="C245" s="55" t="s">
        <v>3093</v>
      </c>
      <c r="D245" s="55" t="s">
        <v>3094</v>
      </c>
      <c r="E245" s="55" t="s">
        <v>3095</v>
      </c>
      <c r="F245" s="55" t="s">
        <v>3076</v>
      </c>
      <c r="I245" s="55" t="s">
        <v>805</v>
      </c>
    </row>
    <row r="246" customFormat="false" ht="11.25" hidden="false" customHeight="true" outlineLevel="0" collapsed="false">
      <c r="A246" s="55" t="s">
        <v>2243</v>
      </c>
      <c r="B246" s="55" t="s">
        <v>16</v>
      </c>
      <c r="C246" s="55" t="s">
        <v>3096</v>
      </c>
      <c r="D246" s="55" t="s">
        <v>3097</v>
      </c>
      <c r="E246" s="55" t="s">
        <v>3098</v>
      </c>
      <c r="F246" s="55" t="s">
        <v>2672</v>
      </c>
      <c r="I246" s="55" t="s">
        <v>805</v>
      </c>
    </row>
    <row r="247" customFormat="false" ht="11.25" hidden="false" customHeight="true" outlineLevel="0" collapsed="false">
      <c r="A247" s="55" t="s">
        <v>2243</v>
      </c>
      <c r="B247" s="55" t="s">
        <v>16</v>
      </c>
      <c r="C247" s="55" t="s">
        <v>3099</v>
      </c>
      <c r="D247" s="55" t="s">
        <v>3100</v>
      </c>
      <c r="E247" s="55" t="s">
        <v>3101</v>
      </c>
      <c r="F247" s="55" t="s">
        <v>2672</v>
      </c>
      <c r="I247" s="55" t="s">
        <v>805</v>
      </c>
    </row>
    <row r="248" customFormat="false" ht="11.25" hidden="false" customHeight="true" outlineLevel="0" collapsed="false">
      <c r="A248" s="55" t="s">
        <v>2243</v>
      </c>
      <c r="B248" s="55" t="s">
        <v>16</v>
      </c>
      <c r="C248" s="55" t="s">
        <v>3102</v>
      </c>
      <c r="D248" s="55" t="s">
        <v>3103</v>
      </c>
      <c r="E248" s="55" t="s">
        <v>3104</v>
      </c>
      <c r="F248" s="55" t="s">
        <v>2672</v>
      </c>
      <c r="I248" s="55" t="s">
        <v>805</v>
      </c>
    </row>
    <row r="249" customFormat="false" ht="11.25" hidden="false" customHeight="true" outlineLevel="0" collapsed="false">
      <c r="A249" s="55" t="s">
        <v>2243</v>
      </c>
      <c r="B249" s="55" t="s">
        <v>16</v>
      </c>
      <c r="C249" s="55" t="s">
        <v>3105</v>
      </c>
      <c r="D249" s="55" t="s">
        <v>3106</v>
      </c>
      <c r="E249" s="55" t="s">
        <v>3107</v>
      </c>
      <c r="F249" s="55" t="s">
        <v>2672</v>
      </c>
      <c r="G249" s="55" t="s">
        <v>3108</v>
      </c>
      <c r="I249" s="55" t="s">
        <v>805</v>
      </c>
    </row>
    <row r="250" customFormat="false" ht="11.25" hidden="false" customHeight="true" outlineLevel="0" collapsed="false">
      <c r="A250" s="55" t="s">
        <v>2243</v>
      </c>
      <c r="B250" s="55" t="s">
        <v>16</v>
      </c>
      <c r="C250" s="55" t="s">
        <v>3109</v>
      </c>
      <c r="D250" s="55" t="s">
        <v>3110</v>
      </c>
      <c r="E250" s="55" t="s">
        <v>3111</v>
      </c>
      <c r="F250" s="55" t="s">
        <v>2672</v>
      </c>
      <c r="G250" s="55" t="s">
        <v>3112</v>
      </c>
      <c r="I250" s="55" t="s">
        <v>805</v>
      </c>
    </row>
    <row r="251" customFormat="false" ht="11.25" hidden="false" customHeight="true" outlineLevel="0" collapsed="false">
      <c r="A251" s="55" t="s">
        <v>2243</v>
      </c>
      <c r="B251" s="55" t="s">
        <v>16</v>
      </c>
      <c r="C251" s="55" t="s">
        <v>3113</v>
      </c>
      <c r="D251" s="55" t="s">
        <v>3114</v>
      </c>
      <c r="E251" s="55" t="s">
        <v>3115</v>
      </c>
      <c r="F251" s="55" t="s">
        <v>2338</v>
      </c>
      <c r="I251" s="55" t="s">
        <v>805</v>
      </c>
    </row>
    <row r="252" customFormat="false" ht="11.25" hidden="false" customHeight="true" outlineLevel="0" collapsed="false">
      <c r="A252" s="55" t="s">
        <v>2243</v>
      </c>
      <c r="B252" s="55" t="s">
        <v>16</v>
      </c>
      <c r="C252" s="55" t="s">
        <v>3116</v>
      </c>
      <c r="D252" s="55" t="s">
        <v>3117</v>
      </c>
      <c r="E252" s="55" t="s">
        <v>3118</v>
      </c>
      <c r="F252" s="55" t="s">
        <v>2347</v>
      </c>
      <c r="G252" s="55" t="s">
        <v>3119</v>
      </c>
      <c r="I252" s="55" t="s">
        <v>805</v>
      </c>
    </row>
    <row r="253" customFormat="false" ht="11.25" hidden="false" customHeight="true" outlineLevel="0" collapsed="false">
      <c r="A253" s="55" t="s">
        <v>2243</v>
      </c>
      <c r="B253" s="55" t="s">
        <v>16</v>
      </c>
      <c r="C253" s="55" t="s">
        <v>3120</v>
      </c>
      <c r="D253" s="55" t="s">
        <v>3121</v>
      </c>
      <c r="E253" s="55" t="s">
        <v>3122</v>
      </c>
      <c r="F253" s="55" t="s">
        <v>2672</v>
      </c>
      <c r="I253" s="55" t="s">
        <v>805</v>
      </c>
    </row>
    <row r="254" customFormat="false" ht="11.25" hidden="false" customHeight="true" outlineLevel="0" collapsed="false">
      <c r="A254" s="55" t="s">
        <v>2243</v>
      </c>
      <c r="B254" s="55" t="s">
        <v>16</v>
      </c>
      <c r="C254" s="55" t="s">
        <v>3123</v>
      </c>
      <c r="D254" s="55" t="s">
        <v>3124</v>
      </c>
      <c r="E254" s="55" t="s">
        <v>3125</v>
      </c>
      <c r="F254" s="55" t="s">
        <v>2274</v>
      </c>
      <c r="G254" s="55" t="s">
        <v>3126</v>
      </c>
      <c r="I254" s="55" t="s">
        <v>805</v>
      </c>
    </row>
    <row r="255" customFormat="false" ht="11.25" hidden="false" customHeight="true" outlineLevel="0" collapsed="false">
      <c r="A255" s="55" t="s">
        <v>2243</v>
      </c>
      <c r="B255" s="55" t="s">
        <v>16</v>
      </c>
      <c r="C255" s="55" t="s">
        <v>3127</v>
      </c>
      <c r="D255" s="55" t="s">
        <v>3128</v>
      </c>
      <c r="E255" s="55" t="s">
        <v>3129</v>
      </c>
      <c r="F255" s="55" t="s">
        <v>3130</v>
      </c>
      <c r="I255" s="55" t="s">
        <v>805</v>
      </c>
    </row>
    <row r="256" customFormat="false" ht="11.25" hidden="false" customHeight="true" outlineLevel="0" collapsed="false">
      <c r="A256" s="55" t="s">
        <v>2243</v>
      </c>
      <c r="B256" s="55" t="s">
        <v>16</v>
      </c>
      <c r="C256" s="55" t="s">
        <v>3131</v>
      </c>
      <c r="D256" s="55" t="s">
        <v>3132</v>
      </c>
      <c r="E256" s="55" t="s">
        <v>3133</v>
      </c>
      <c r="F256" s="55" t="s">
        <v>2387</v>
      </c>
      <c r="I256" s="55" t="s">
        <v>805</v>
      </c>
    </row>
    <row r="257" customFormat="false" ht="11.25" hidden="false" customHeight="true" outlineLevel="0" collapsed="false">
      <c r="A257" s="55" t="s">
        <v>2243</v>
      </c>
      <c r="B257" s="55" t="s">
        <v>16</v>
      </c>
      <c r="C257" s="55" t="s">
        <v>3134</v>
      </c>
      <c r="D257" s="55" t="s">
        <v>3135</v>
      </c>
      <c r="E257" s="55" t="s">
        <v>3136</v>
      </c>
      <c r="F257" s="55" t="s">
        <v>2566</v>
      </c>
      <c r="I257" s="55" t="s">
        <v>805</v>
      </c>
    </row>
    <row r="258" customFormat="false" ht="11.25" hidden="false" customHeight="true" outlineLevel="0" collapsed="false">
      <c r="A258" s="55" t="s">
        <v>2243</v>
      </c>
      <c r="B258" s="55" t="s">
        <v>16</v>
      </c>
      <c r="C258" s="55" t="s">
        <v>3137</v>
      </c>
      <c r="D258" s="55" t="s">
        <v>3138</v>
      </c>
      <c r="E258" s="55" t="s">
        <v>3139</v>
      </c>
      <c r="F258" s="55" t="s">
        <v>2672</v>
      </c>
      <c r="G258" s="55" t="s">
        <v>3140</v>
      </c>
      <c r="I258" s="55" t="s">
        <v>805</v>
      </c>
    </row>
    <row r="259" customFormat="false" ht="11.25" hidden="false" customHeight="true" outlineLevel="0" collapsed="false">
      <c r="A259" s="55" t="s">
        <v>2243</v>
      </c>
      <c r="B259" s="55" t="s">
        <v>16</v>
      </c>
      <c r="C259" s="55" t="s">
        <v>3141</v>
      </c>
      <c r="D259" s="55" t="s">
        <v>3142</v>
      </c>
      <c r="E259" s="55" t="s">
        <v>3143</v>
      </c>
      <c r="F259" s="55" t="s">
        <v>3144</v>
      </c>
      <c r="I259" s="55" t="s">
        <v>805</v>
      </c>
    </row>
    <row r="260" customFormat="false" ht="11.25" hidden="false" customHeight="true" outlineLevel="0" collapsed="false">
      <c r="A260" s="55" t="s">
        <v>2243</v>
      </c>
      <c r="B260" s="55" t="s">
        <v>16</v>
      </c>
      <c r="C260" s="55" t="s">
        <v>3145</v>
      </c>
      <c r="D260" s="55" t="s">
        <v>3146</v>
      </c>
      <c r="E260" s="55" t="s">
        <v>3147</v>
      </c>
      <c r="F260" s="55" t="s">
        <v>2566</v>
      </c>
      <c r="I260" s="55" t="s">
        <v>805</v>
      </c>
    </row>
    <row r="261" customFormat="false" ht="11.25" hidden="false" customHeight="true" outlineLevel="0" collapsed="false">
      <c r="A261" s="55" t="s">
        <v>2243</v>
      </c>
      <c r="B261" s="55" t="s">
        <v>16</v>
      </c>
      <c r="C261" s="55" t="s">
        <v>3148</v>
      </c>
      <c r="D261" s="55" t="s">
        <v>3149</v>
      </c>
      <c r="E261" s="55" t="s">
        <v>3150</v>
      </c>
      <c r="F261" s="55" t="s">
        <v>2566</v>
      </c>
      <c r="G261" s="55" t="s">
        <v>3151</v>
      </c>
      <c r="I261" s="55" t="s">
        <v>805</v>
      </c>
    </row>
    <row r="262" customFormat="false" ht="11.25" hidden="false" customHeight="true" outlineLevel="0" collapsed="false">
      <c r="A262" s="55" t="s">
        <v>2243</v>
      </c>
      <c r="B262" s="55" t="s">
        <v>16</v>
      </c>
      <c r="C262" s="55" t="s">
        <v>3152</v>
      </c>
      <c r="D262" s="55" t="s">
        <v>3153</v>
      </c>
      <c r="E262" s="55" t="s">
        <v>3154</v>
      </c>
      <c r="F262" s="55" t="s">
        <v>2309</v>
      </c>
      <c r="I262" s="55" t="s">
        <v>805</v>
      </c>
    </row>
    <row r="263" customFormat="false" ht="11.25" hidden="false" customHeight="true" outlineLevel="0" collapsed="false">
      <c r="A263" s="55" t="s">
        <v>2243</v>
      </c>
      <c r="B263" s="55" t="s">
        <v>16</v>
      </c>
      <c r="C263" s="55" t="s">
        <v>3155</v>
      </c>
      <c r="D263" s="55" t="s">
        <v>3156</v>
      </c>
      <c r="E263" s="55" t="s">
        <v>3157</v>
      </c>
      <c r="F263" s="55" t="s">
        <v>2309</v>
      </c>
      <c r="G263" s="55" t="s">
        <v>3158</v>
      </c>
      <c r="I263" s="55" t="s">
        <v>805</v>
      </c>
    </row>
    <row r="264" customFormat="false" ht="11.25" hidden="false" customHeight="true" outlineLevel="0" collapsed="false">
      <c r="A264" s="55" t="s">
        <v>2243</v>
      </c>
      <c r="B264" s="55" t="s">
        <v>16</v>
      </c>
      <c r="C264" s="55" t="s">
        <v>3159</v>
      </c>
      <c r="D264" s="55" t="s">
        <v>3160</v>
      </c>
      <c r="E264" s="55" t="s">
        <v>3161</v>
      </c>
      <c r="F264" s="55" t="s">
        <v>2333</v>
      </c>
      <c r="G264" s="55" t="s">
        <v>3162</v>
      </c>
      <c r="I264" s="55" t="s">
        <v>805</v>
      </c>
    </row>
    <row r="265" customFormat="false" ht="11.25" hidden="false" customHeight="true" outlineLevel="0" collapsed="false">
      <c r="A265" s="55" t="s">
        <v>2243</v>
      </c>
      <c r="B265" s="55" t="s">
        <v>16</v>
      </c>
      <c r="C265" s="55" t="s">
        <v>3163</v>
      </c>
      <c r="D265" s="55" t="s">
        <v>3164</v>
      </c>
      <c r="E265" s="55" t="s">
        <v>3165</v>
      </c>
      <c r="F265" s="55" t="s">
        <v>2274</v>
      </c>
      <c r="I265" s="55" t="s">
        <v>805</v>
      </c>
    </row>
    <row r="266" customFormat="false" ht="11.25" hidden="false" customHeight="true" outlineLevel="0" collapsed="false">
      <c r="A266" s="55" t="s">
        <v>2243</v>
      </c>
      <c r="B266" s="55" t="s">
        <v>16</v>
      </c>
      <c r="C266" s="55" t="s">
        <v>3166</v>
      </c>
      <c r="D266" s="55" t="s">
        <v>3167</v>
      </c>
      <c r="E266" s="55" t="s">
        <v>3168</v>
      </c>
      <c r="F266" s="55" t="s">
        <v>2247</v>
      </c>
      <c r="G266" s="55" t="s">
        <v>3169</v>
      </c>
      <c r="I266" s="55" t="s">
        <v>805</v>
      </c>
    </row>
    <row r="267" customFormat="false" ht="11.25" hidden="false" customHeight="true" outlineLevel="0" collapsed="false">
      <c r="A267" s="55" t="s">
        <v>2243</v>
      </c>
      <c r="B267" s="55" t="s">
        <v>16</v>
      </c>
      <c r="C267" s="55" t="s">
        <v>3170</v>
      </c>
      <c r="D267" s="55" t="s">
        <v>3171</v>
      </c>
      <c r="E267" s="55" t="s">
        <v>3172</v>
      </c>
      <c r="F267" s="55" t="s">
        <v>2283</v>
      </c>
      <c r="G267" s="55" t="s">
        <v>3173</v>
      </c>
      <c r="I267" s="55" t="s">
        <v>805</v>
      </c>
    </row>
    <row r="268" customFormat="false" ht="11.25" hidden="false" customHeight="true" outlineLevel="0" collapsed="false">
      <c r="A268" s="55" t="s">
        <v>2243</v>
      </c>
      <c r="B268" s="55" t="s">
        <v>16</v>
      </c>
      <c r="C268" s="55" t="s">
        <v>3174</v>
      </c>
      <c r="D268" s="55" t="s">
        <v>3175</v>
      </c>
      <c r="E268" s="55" t="s">
        <v>3176</v>
      </c>
      <c r="F268" s="55" t="s">
        <v>2247</v>
      </c>
      <c r="G268" s="55" t="s">
        <v>3177</v>
      </c>
      <c r="I268" s="55" t="s">
        <v>805</v>
      </c>
    </row>
    <row r="269" customFormat="false" ht="11.25" hidden="false" customHeight="true" outlineLevel="0" collapsed="false">
      <c r="A269" s="55" t="s">
        <v>2243</v>
      </c>
      <c r="B269" s="55" t="s">
        <v>16</v>
      </c>
      <c r="C269" s="55" t="s">
        <v>3178</v>
      </c>
      <c r="D269" s="55" t="s">
        <v>3179</v>
      </c>
      <c r="E269" s="55" t="s">
        <v>3180</v>
      </c>
      <c r="F269" s="55" t="s">
        <v>2274</v>
      </c>
      <c r="I269" s="55" t="s">
        <v>805</v>
      </c>
    </row>
    <row r="270" customFormat="false" ht="11.25" hidden="false" customHeight="true" outlineLevel="0" collapsed="false">
      <c r="A270" s="55" t="s">
        <v>2243</v>
      </c>
      <c r="B270" s="55" t="s">
        <v>16</v>
      </c>
      <c r="C270" s="55" t="s">
        <v>3181</v>
      </c>
      <c r="D270" s="55" t="s">
        <v>3182</v>
      </c>
      <c r="E270" s="55" t="s">
        <v>3183</v>
      </c>
      <c r="F270" s="55" t="s">
        <v>2274</v>
      </c>
      <c r="G270" s="55" t="s">
        <v>3184</v>
      </c>
      <c r="I270" s="55" t="s">
        <v>805</v>
      </c>
    </row>
    <row r="271" customFormat="false" ht="11.25" hidden="false" customHeight="true" outlineLevel="0" collapsed="false">
      <c r="A271" s="55" t="s">
        <v>2243</v>
      </c>
      <c r="B271" s="55" t="s">
        <v>16</v>
      </c>
      <c r="C271" s="55" t="s">
        <v>3185</v>
      </c>
      <c r="D271" s="55" t="s">
        <v>3186</v>
      </c>
      <c r="E271" s="55" t="s">
        <v>3187</v>
      </c>
      <c r="F271" s="55" t="s">
        <v>2274</v>
      </c>
      <c r="I271" s="55" t="s">
        <v>805</v>
      </c>
    </row>
    <row r="272" customFormat="false" ht="11.25" hidden="false" customHeight="true" outlineLevel="0" collapsed="false">
      <c r="A272" s="55" t="s">
        <v>2243</v>
      </c>
      <c r="B272" s="55" t="s">
        <v>16</v>
      </c>
      <c r="C272" s="55" t="s">
        <v>3188</v>
      </c>
      <c r="D272" s="55" t="s">
        <v>3189</v>
      </c>
      <c r="E272" s="55" t="s">
        <v>3190</v>
      </c>
      <c r="F272" s="55" t="s">
        <v>2566</v>
      </c>
      <c r="G272" s="55" t="s">
        <v>3191</v>
      </c>
      <c r="I272" s="55" t="s">
        <v>805</v>
      </c>
    </row>
    <row r="273" customFormat="false" ht="11.25" hidden="false" customHeight="true" outlineLevel="0" collapsed="false">
      <c r="A273" s="55" t="s">
        <v>2243</v>
      </c>
      <c r="B273" s="55" t="s">
        <v>16</v>
      </c>
      <c r="C273" s="55" t="s">
        <v>3192</v>
      </c>
      <c r="D273" s="55" t="s">
        <v>3193</v>
      </c>
      <c r="E273" s="55" t="s">
        <v>3194</v>
      </c>
      <c r="F273" s="55" t="s">
        <v>2566</v>
      </c>
      <c r="G273" s="55" t="s">
        <v>3195</v>
      </c>
      <c r="I273" s="55" t="s">
        <v>805</v>
      </c>
    </row>
    <row r="274" customFormat="false" ht="11.25" hidden="false" customHeight="true" outlineLevel="0" collapsed="false">
      <c r="A274" s="55" t="s">
        <v>2243</v>
      </c>
      <c r="B274" s="55" t="s">
        <v>16</v>
      </c>
      <c r="C274" s="55" t="s">
        <v>3196</v>
      </c>
      <c r="D274" s="55" t="s">
        <v>3197</v>
      </c>
      <c r="E274" s="55" t="s">
        <v>3198</v>
      </c>
      <c r="F274" s="55" t="s">
        <v>2247</v>
      </c>
      <c r="G274" s="55" t="s">
        <v>3199</v>
      </c>
      <c r="I274" s="55" t="s">
        <v>805</v>
      </c>
    </row>
    <row r="275" customFormat="false" ht="11.25" hidden="false" customHeight="true" outlineLevel="0" collapsed="false">
      <c r="A275" s="55" t="s">
        <v>2243</v>
      </c>
      <c r="B275" s="55" t="s">
        <v>16</v>
      </c>
      <c r="C275" s="55" t="s">
        <v>3200</v>
      </c>
      <c r="D275" s="55" t="s">
        <v>3201</v>
      </c>
      <c r="E275" s="55" t="s">
        <v>3202</v>
      </c>
      <c r="F275" s="55" t="s">
        <v>2338</v>
      </c>
      <c r="G275" s="55" t="s">
        <v>3203</v>
      </c>
      <c r="I275" s="55" t="s">
        <v>805</v>
      </c>
    </row>
    <row r="276" customFormat="false" ht="11.25" hidden="false" customHeight="true" outlineLevel="0" collapsed="false">
      <c r="A276" s="55" t="s">
        <v>2243</v>
      </c>
      <c r="B276" s="55" t="s">
        <v>16</v>
      </c>
      <c r="C276" s="55" t="s">
        <v>3204</v>
      </c>
      <c r="D276" s="55" t="s">
        <v>3205</v>
      </c>
      <c r="E276" s="55" t="s">
        <v>3206</v>
      </c>
      <c r="F276" s="55" t="s">
        <v>2566</v>
      </c>
      <c r="G276" s="55" t="s">
        <v>3207</v>
      </c>
      <c r="I276" s="55" t="s">
        <v>805</v>
      </c>
    </row>
    <row r="277" customFormat="false" ht="11.25" hidden="false" customHeight="true" outlineLevel="0" collapsed="false">
      <c r="A277" s="55" t="s">
        <v>2243</v>
      </c>
      <c r="B277" s="55" t="s">
        <v>16</v>
      </c>
      <c r="C277" s="55" t="s">
        <v>3208</v>
      </c>
      <c r="D277" s="55" t="s">
        <v>3209</v>
      </c>
      <c r="E277" s="55" t="s">
        <v>3210</v>
      </c>
      <c r="F277" s="55" t="s">
        <v>2247</v>
      </c>
      <c r="G277" s="55" t="s">
        <v>3211</v>
      </c>
      <c r="I277" s="55" t="s">
        <v>805</v>
      </c>
    </row>
    <row r="278" customFormat="false" ht="11.25" hidden="false" customHeight="true" outlineLevel="0" collapsed="false">
      <c r="A278" s="55" t="s">
        <v>2243</v>
      </c>
      <c r="B278" s="55" t="s">
        <v>16</v>
      </c>
      <c r="C278" s="55" t="s">
        <v>3212</v>
      </c>
      <c r="D278" s="55" t="s">
        <v>3213</v>
      </c>
      <c r="E278" s="55" t="s">
        <v>3214</v>
      </c>
      <c r="F278" s="55" t="s">
        <v>2890</v>
      </c>
      <c r="I278" s="55" t="s">
        <v>805</v>
      </c>
    </row>
    <row r="279" customFormat="false" ht="11.25" hidden="false" customHeight="true" outlineLevel="0" collapsed="false">
      <c r="A279" s="55" t="s">
        <v>2243</v>
      </c>
      <c r="B279" s="55" t="s">
        <v>16</v>
      </c>
      <c r="C279" s="55" t="s">
        <v>3215</v>
      </c>
      <c r="D279" s="55" t="s">
        <v>3216</v>
      </c>
      <c r="E279" s="55" t="s">
        <v>3217</v>
      </c>
      <c r="F279" s="55" t="s">
        <v>3130</v>
      </c>
      <c r="G279" s="55" t="s">
        <v>3218</v>
      </c>
      <c r="I279" s="55" t="s">
        <v>805</v>
      </c>
    </row>
    <row r="280" customFormat="false" ht="11.25" hidden="false" customHeight="true" outlineLevel="0" collapsed="false">
      <c r="A280" s="55" t="s">
        <v>2243</v>
      </c>
      <c r="B280" s="55" t="s">
        <v>16</v>
      </c>
      <c r="C280" s="55" t="s">
        <v>3219</v>
      </c>
      <c r="D280" s="55" t="s">
        <v>3220</v>
      </c>
      <c r="E280" s="55" t="s">
        <v>3221</v>
      </c>
      <c r="F280" s="55" t="s">
        <v>2283</v>
      </c>
      <c r="I280" s="55" t="s">
        <v>805</v>
      </c>
    </row>
    <row r="281" customFormat="false" ht="11.25" hidden="false" customHeight="true" outlineLevel="0" collapsed="false">
      <c r="A281" s="55" t="s">
        <v>2243</v>
      </c>
      <c r="B281" s="55" t="s">
        <v>16</v>
      </c>
      <c r="C281" s="55" t="s">
        <v>3222</v>
      </c>
      <c r="D281" s="55" t="s">
        <v>3223</v>
      </c>
      <c r="E281" s="55" t="s">
        <v>3224</v>
      </c>
      <c r="F281" s="55" t="s">
        <v>2283</v>
      </c>
      <c r="I281" s="55" t="s">
        <v>805</v>
      </c>
    </row>
    <row r="282" customFormat="false" ht="11.25" hidden="false" customHeight="true" outlineLevel="0" collapsed="false">
      <c r="A282" s="55" t="s">
        <v>2243</v>
      </c>
      <c r="B282" s="55" t="s">
        <v>16</v>
      </c>
      <c r="C282" s="55" t="s">
        <v>3225</v>
      </c>
      <c r="D282" s="55" t="s">
        <v>3226</v>
      </c>
      <c r="E282" s="55" t="s">
        <v>3227</v>
      </c>
      <c r="F282" s="55" t="s">
        <v>2672</v>
      </c>
      <c r="G282" s="55" t="s">
        <v>3228</v>
      </c>
      <c r="I282" s="55" t="s">
        <v>805</v>
      </c>
    </row>
    <row r="283" customFormat="false" ht="11.25" hidden="false" customHeight="true" outlineLevel="0" collapsed="false">
      <c r="A283" s="55" t="s">
        <v>2243</v>
      </c>
      <c r="B283" s="55" t="s">
        <v>16</v>
      </c>
      <c r="C283" s="55" t="s">
        <v>3229</v>
      </c>
      <c r="D283" s="55" t="s">
        <v>3230</v>
      </c>
      <c r="E283" s="55" t="s">
        <v>3231</v>
      </c>
      <c r="F283" s="55" t="s">
        <v>2283</v>
      </c>
      <c r="I283" s="55" t="s">
        <v>805</v>
      </c>
    </row>
    <row r="284" customFormat="false" ht="11.25" hidden="false" customHeight="true" outlineLevel="0" collapsed="false">
      <c r="A284" s="55" t="s">
        <v>2243</v>
      </c>
      <c r="B284" s="55" t="s">
        <v>16</v>
      </c>
      <c r="C284" s="55" t="s">
        <v>3232</v>
      </c>
      <c r="D284" s="55" t="s">
        <v>3233</v>
      </c>
      <c r="E284" s="55" t="s">
        <v>3234</v>
      </c>
      <c r="F284" s="55" t="s">
        <v>3235</v>
      </c>
      <c r="I284" s="55" t="s">
        <v>805</v>
      </c>
    </row>
    <row r="285" customFormat="false" ht="11.25" hidden="false" customHeight="true" outlineLevel="0" collapsed="false">
      <c r="A285" s="55" t="s">
        <v>2243</v>
      </c>
      <c r="B285" s="55" t="s">
        <v>16</v>
      </c>
      <c r="C285" s="55" t="s">
        <v>3236</v>
      </c>
      <c r="D285" s="55" t="s">
        <v>3237</v>
      </c>
      <c r="E285" s="55" t="s">
        <v>3238</v>
      </c>
      <c r="F285" s="55" t="s">
        <v>2387</v>
      </c>
      <c r="I285" s="55" t="s">
        <v>805</v>
      </c>
    </row>
    <row r="286" customFormat="false" ht="11.25" hidden="false" customHeight="true" outlineLevel="0" collapsed="false">
      <c r="A286" s="55" t="s">
        <v>2243</v>
      </c>
      <c r="B286" s="55" t="s">
        <v>16</v>
      </c>
      <c r="C286" s="55" t="s">
        <v>3239</v>
      </c>
      <c r="D286" s="55" t="s">
        <v>3240</v>
      </c>
      <c r="E286" s="55" t="s">
        <v>3241</v>
      </c>
      <c r="F286" s="55" t="s">
        <v>2291</v>
      </c>
      <c r="I286" s="55" t="s">
        <v>805</v>
      </c>
    </row>
    <row r="287" customFormat="false" ht="11.25" hidden="false" customHeight="true" outlineLevel="0" collapsed="false">
      <c r="A287" s="55" t="s">
        <v>2243</v>
      </c>
      <c r="B287" s="55" t="s">
        <v>16</v>
      </c>
      <c r="C287" s="55" t="s">
        <v>3242</v>
      </c>
      <c r="D287" s="55" t="s">
        <v>3243</v>
      </c>
      <c r="E287" s="55" t="s">
        <v>3244</v>
      </c>
      <c r="F287" s="55" t="s">
        <v>2672</v>
      </c>
      <c r="I287" s="55" t="s">
        <v>805</v>
      </c>
    </row>
    <row r="288" customFormat="false" ht="11.25" hidden="false" customHeight="true" outlineLevel="0" collapsed="false">
      <c r="A288" s="55" t="s">
        <v>2243</v>
      </c>
      <c r="B288" s="55" t="s">
        <v>16</v>
      </c>
      <c r="C288" s="55" t="s">
        <v>3245</v>
      </c>
      <c r="D288" s="55" t="s">
        <v>3246</v>
      </c>
      <c r="E288" s="55" t="s">
        <v>3247</v>
      </c>
      <c r="F288" s="55" t="s">
        <v>2672</v>
      </c>
      <c r="I288" s="55" t="s">
        <v>805</v>
      </c>
    </row>
    <row r="289" customFormat="false" ht="11.25" hidden="false" customHeight="true" outlineLevel="0" collapsed="false">
      <c r="A289" s="55" t="s">
        <v>2243</v>
      </c>
      <c r="B289" s="55" t="s">
        <v>16</v>
      </c>
      <c r="C289" s="55" t="s">
        <v>3248</v>
      </c>
      <c r="D289" s="55" t="s">
        <v>3249</v>
      </c>
      <c r="E289" s="55" t="s">
        <v>3250</v>
      </c>
      <c r="F289" s="55" t="s">
        <v>2672</v>
      </c>
      <c r="I289" s="55" t="s">
        <v>805</v>
      </c>
    </row>
    <row r="290" customFormat="false" ht="11.25" hidden="false" customHeight="true" outlineLevel="0" collapsed="false">
      <c r="A290" s="55" t="s">
        <v>2243</v>
      </c>
      <c r="B290" s="55" t="s">
        <v>16</v>
      </c>
      <c r="C290" s="55" t="s">
        <v>3251</v>
      </c>
      <c r="D290" s="55" t="s">
        <v>3252</v>
      </c>
      <c r="E290" s="55" t="s">
        <v>3253</v>
      </c>
      <c r="F290" s="55" t="s">
        <v>3254</v>
      </c>
      <c r="I290" s="55" t="s">
        <v>805</v>
      </c>
    </row>
    <row r="291" customFormat="false" ht="11.25" hidden="false" customHeight="true" outlineLevel="0" collapsed="false">
      <c r="A291" s="55" t="s">
        <v>2243</v>
      </c>
      <c r="B291" s="55" t="s">
        <v>16</v>
      </c>
      <c r="C291" s="55" t="s">
        <v>3255</v>
      </c>
      <c r="D291" s="55" t="s">
        <v>3256</v>
      </c>
      <c r="E291" s="55" t="s">
        <v>3257</v>
      </c>
      <c r="F291" s="55" t="s">
        <v>2566</v>
      </c>
      <c r="I291" s="55" t="s">
        <v>805</v>
      </c>
    </row>
    <row r="292" customFormat="false" ht="11.25" hidden="false" customHeight="true" outlineLevel="0" collapsed="false">
      <c r="A292" s="55" t="s">
        <v>2243</v>
      </c>
      <c r="B292" s="55" t="s">
        <v>16</v>
      </c>
      <c r="C292" s="55" t="s">
        <v>3258</v>
      </c>
      <c r="D292" s="55" t="s">
        <v>3259</v>
      </c>
      <c r="E292" s="55" t="s">
        <v>3260</v>
      </c>
      <c r="F292" s="55" t="s">
        <v>2329</v>
      </c>
      <c r="I292" s="55" t="s">
        <v>805</v>
      </c>
    </row>
    <row r="293" customFormat="false" ht="11.25" hidden="false" customHeight="true" outlineLevel="0" collapsed="false">
      <c r="A293" s="55" t="s">
        <v>2243</v>
      </c>
      <c r="B293" s="55" t="s">
        <v>16</v>
      </c>
      <c r="C293" s="55" t="s">
        <v>3261</v>
      </c>
      <c r="D293" s="55" t="s">
        <v>3262</v>
      </c>
      <c r="E293" s="55" t="s">
        <v>3263</v>
      </c>
      <c r="F293" s="55" t="s">
        <v>3130</v>
      </c>
      <c r="I293" s="55" t="s">
        <v>805</v>
      </c>
    </row>
    <row r="294" customFormat="false" ht="11.25" hidden="false" customHeight="true" outlineLevel="0" collapsed="false">
      <c r="A294" s="55" t="s">
        <v>2243</v>
      </c>
      <c r="B294" s="55" t="s">
        <v>16</v>
      </c>
      <c r="C294" s="55" t="s">
        <v>3264</v>
      </c>
      <c r="D294" s="55" t="s">
        <v>3265</v>
      </c>
      <c r="E294" s="55" t="s">
        <v>3266</v>
      </c>
      <c r="F294" s="55" t="s">
        <v>2371</v>
      </c>
      <c r="H294" s="55" t="s">
        <v>3267</v>
      </c>
      <c r="I294" s="55" t="s">
        <v>805</v>
      </c>
    </row>
    <row r="295" customFormat="false" ht="11.25" hidden="false" customHeight="true" outlineLevel="0" collapsed="false">
      <c r="A295" s="55" t="s">
        <v>2243</v>
      </c>
      <c r="B295" s="55" t="s">
        <v>16</v>
      </c>
      <c r="C295" s="55" t="s">
        <v>3268</v>
      </c>
      <c r="D295" s="55" t="s">
        <v>3269</v>
      </c>
      <c r="E295" s="55" t="s">
        <v>3270</v>
      </c>
      <c r="F295" s="55" t="s">
        <v>2283</v>
      </c>
      <c r="I295" s="55" t="s">
        <v>805</v>
      </c>
    </row>
    <row r="296" customFormat="false" ht="11.25" hidden="false" customHeight="true" outlineLevel="0" collapsed="false">
      <c r="A296" s="55" t="s">
        <v>2243</v>
      </c>
      <c r="B296" s="55" t="s">
        <v>16</v>
      </c>
      <c r="C296" s="55" t="s">
        <v>3271</v>
      </c>
      <c r="D296" s="55" t="s">
        <v>3272</v>
      </c>
      <c r="E296" s="55" t="s">
        <v>3273</v>
      </c>
      <c r="F296" s="55" t="s">
        <v>2566</v>
      </c>
      <c r="I296" s="55" t="s">
        <v>805</v>
      </c>
    </row>
    <row r="297" customFormat="false" ht="11.25" hidden="false" customHeight="true" outlineLevel="0" collapsed="false">
      <c r="A297" s="55" t="s">
        <v>2243</v>
      </c>
      <c r="B297" s="55" t="s">
        <v>16</v>
      </c>
      <c r="C297" s="55" t="s">
        <v>3274</v>
      </c>
      <c r="D297" s="55" t="s">
        <v>3275</v>
      </c>
      <c r="E297" s="55" t="s">
        <v>3276</v>
      </c>
      <c r="F297" s="55" t="s">
        <v>2247</v>
      </c>
      <c r="I297" s="55" t="s">
        <v>805</v>
      </c>
    </row>
    <row r="298" customFormat="false" ht="11.25" hidden="false" customHeight="true" outlineLevel="0" collapsed="false">
      <c r="A298" s="55" t="s">
        <v>2243</v>
      </c>
      <c r="B298" s="55" t="s">
        <v>16</v>
      </c>
      <c r="C298" s="55" t="s">
        <v>3277</v>
      </c>
      <c r="D298" s="55" t="s">
        <v>3278</v>
      </c>
      <c r="E298" s="55" t="s">
        <v>3279</v>
      </c>
      <c r="F298" s="55" t="s">
        <v>2247</v>
      </c>
      <c r="I298" s="55" t="s">
        <v>805</v>
      </c>
    </row>
    <row r="299" customFormat="false" ht="11.25" hidden="false" customHeight="true" outlineLevel="0" collapsed="false">
      <c r="A299" s="55" t="s">
        <v>2243</v>
      </c>
      <c r="B299" s="55" t="s">
        <v>16</v>
      </c>
      <c r="C299" s="55" t="s">
        <v>3280</v>
      </c>
      <c r="D299" s="55" t="s">
        <v>3281</v>
      </c>
      <c r="E299" s="55" t="s">
        <v>3282</v>
      </c>
      <c r="F299" s="55" t="s">
        <v>2247</v>
      </c>
      <c r="I299" s="55" t="s">
        <v>805</v>
      </c>
    </row>
    <row r="300" customFormat="false" ht="11.25" hidden="false" customHeight="true" outlineLevel="0" collapsed="false">
      <c r="A300" s="55" t="s">
        <v>2243</v>
      </c>
      <c r="B300" s="55" t="s">
        <v>16</v>
      </c>
      <c r="C300" s="55" t="s">
        <v>3283</v>
      </c>
      <c r="D300" s="55" t="s">
        <v>3284</v>
      </c>
      <c r="E300" s="55" t="s">
        <v>3285</v>
      </c>
      <c r="F300" s="55" t="s">
        <v>2371</v>
      </c>
      <c r="I300" s="55" t="s">
        <v>805</v>
      </c>
    </row>
    <row r="301" customFormat="false" ht="11.25" hidden="false" customHeight="true" outlineLevel="0" collapsed="false">
      <c r="A301" s="55" t="s">
        <v>2243</v>
      </c>
      <c r="B301" s="55" t="s">
        <v>16</v>
      </c>
      <c r="C301" s="55" t="s">
        <v>3286</v>
      </c>
      <c r="D301" s="55" t="s">
        <v>3287</v>
      </c>
      <c r="E301" s="55" t="s">
        <v>3288</v>
      </c>
      <c r="F301" s="55" t="s">
        <v>3289</v>
      </c>
      <c r="G301" s="55" t="s">
        <v>3290</v>
      </c>
      <c r="I301" s="55" t="s">
        <v>805</v>
      </c>
    </row>
    <row r="302" customFormat="false" ht="11.25" hidden="false" customHeight="true" outlineLevel="0" collapsed="false">
      <c r="A302" s="55" t="s">
        <v>2243</v>
      </c>
      <c r="B302" s="55" t="s">
        <v>16</v>
      </c>
      <c r="C302" s="55" t="s">
        <v>3291</v>
      </c>
      <c r="D302" s="55" t="s">
        <v>3292</v>
      </c>
      <c r="E302" s="55" t="s">
        <v>3293</v>
      </c>
      <c r="F302" s="55" t="s">
        <v>2672</v>
      </c>
      <c r="H302" s="55" t="s">
        <v>3294</v>
      </c>
      <c r="I302" s="55" t="s">
        <v>805</v>
      </c>
    </row>
    <row r="303" customFormat="false" ht="11.25" hidden="false" customHeight="true" outlineLevel="0" collapsed="false">
      <c r="A303" s="55" t="s">
        <v>2243</v>
      </c>
      <c r="B303" s="55" t="s">
        <v>16</v>
      </c>
      <c r="C303" s="55" t="s">
        <v>3295</v>
      </c>
      <c r="D303" s="55" t="s">
        <v>3296</v>
      </c>
      <c r="E303" s="55" t="s">
        <v>3297</v>
      </c>
      <c r="F303" s="55" t="s">
        <v>2329</v>
      </c>
      <c r="I303" s="55" t="s">
        <v>805</v>
      </c>
    </row>
    <row r="304" customFormat="false" ht="11.25" hidden="false" customHeight="true" outlineLevel="0" collapsed="false">
      <c r="A304" s="55" t="s">
        <v>2243</v>
      </c>
      <c r="B304" s="55" t="s">
        <v>16</v>
      </c>
      <c r="C304" s="55" t="s">
        <v>3298</v>
      </c>
      <c r="D304" s="55" t="s">
        <v>3299</v>
      </c>
      <c r="E304" s="55" t="s">
        <v>3300</v>
      </c>
      <c r="F304" s="55" t="s">
        <v>2247</v>
      </c>
      <c r="I304" s="55" t="s">
        <v>805</v>
      </c>
    </row>
    <row r="305" customFormat="false" ht="11.25" hidden="false" customHeight="true" outlineLevel="0" collapsed="false">
      <c r="A305" s="55" t="s">
        <v>2243</v>
      </c>
      <c r="B305" s="55" t="s">
        <v>16</v>
      </c>
      <c r="C305" s="55" t="s">
        <v>3301</v>
      </c>
      <c r="D305" s="55" t="s">
        <v>3302</v>
      </c>
      <c r="E305" s="55" t="s">
        <v>3303</v>
      </c>
      <c r="F305" s="55" t="s">
        <v>3304</v>
      </c>
      <c r="I305" s="55" t="s">
        <v>805</v>
      </c>
    </row>
    <row r="306" customFormat="false" ht="11.25" hidden="false" customHeight="true" outlineLevel="0" collapsed="false">
      <c r="A306" s="55" t="s">
        <v>2243</v>
      </c>
      <c r="B306" s="55" t="s">
        <v>16</v>
      </c>
      <c r="C306" s="55" t="s">
        <v>3305</v>
      </c>
      <c r="D306" s="55" t="s">
        <v>3306</v>
      </c>
      <c r="E306" s="55" t="s">
        <v>3307</v>
      </c>
      <c r="F306" s="55" t="s">
        <v>3308</v>
      </c>
      <c r="I306" s="55" t="s">
        <v>805</v>
      </c>
    </row>
    <row r="307" customFormat="false" ht="11.25" hidden="false" customHeight="true" outlineLevel="0" collapsed="false">
      <c r="A307" s="55" t="s">
        <v>2243</v>
      </c>
      <c r="B307" s="55" t="s">
        <v>16</v>
      </c>
      <c r="C307" s="55" t="s">
        <v>3309</v>
      </c>
      <c r="D307" s="55" t="s">
        <v>3310</v>
      </c>
      <c r="E307" s="55" t="s">
        <v>3311</v>
      </c>
      <c r="F307" s="55" t="s">
        <v>2291</v>
      </c>
      <c r="I307" s="55" t="s">
        <v>805</v>
      </c>
    </row>
    <row r="308" customFormat="false" ht="11.25" hidden="false" customHeight="true" outlineLevel="0" collapsed="false">
      <c r="A308" s="55" t="s">
        <v>2243</v>
      </c>
      <c r="B308" s="55" t="s">
        <v>16</v>
      </c>
      <c r="C308" s="55" t="s">
        <v>3312</v>
      </c>
      <c r="D308" s="55" t="s">
        <v>3313</v>
      </c>
      <c r="E308" s="55" t="s">
        <v>3314</v>
      </c>
      <c r="F308" s="55" t="s">
        <v>3315</v>
      </c>
      <c r="I308" s="55" t="s">
        <v>805</v>
      </c>
    </row>
    <row r="309" customFormat="false" ht="11.25" hidden="false" customHeight="true" outlineLevel="0" collapsed="false">
      <c r="A309" s="55" t="s">
        <v>2243</v>
      </c>
      <c r="B309" s="55" t="s">
        <v>16</v>
      </c>
      <c r="C309" s="55" t="s">
        <v>3316</v>
      </c>
      <c r="D309" s="55" t="s">
        <v>3317</v>
      </c>
      <c r="E309" s="55" t="s">
        <v>3318</v>
      </c>
      <c r="F309" s="55" t="s">
        <v>2291</v>
      </c>
      <c r="I309" s="55" t="s">
        <v>805</v>
      </c>
    </row>
    <row r="310" customFormat="false" ht="11.25" hidden="false" customHeight="true" outlineLevel="0" collapsed="false">
      <c r="A310" s="55" t="s">
        <v>2243</v>
      </c>
      <c r="B310" s="55" t="s">
        <v>16</v>
      </c>
      <c r="C310" s="55" t="s">
        <v>3319</v>
      </c>
      <c r="D310" s="55" t="s">
        <v>3320</v>
      </c>
      <c r="E310" s="55" t="s">
        <v>3321</v>
      </c>
      <c r="F310" s="55" t="s">
        <v>2470</v>
      </c>
      <c r="I310" s="55" t="s">
        <v>805</v>
      </c>
    </row>
    <row r="311" customFormat="false" ht="11.25" hidden="false" customHeight="true" outlineLevel="0" collapsed="false">
      <c r="A311" s="55" t="s">
        <v>2243</v>
      </c>
      <c r="B311" s="55" t="s">
        <v>16</v>
      </c>
      <c r="C311" s="55" t="s">
        <v>3322</v>
      </c>
      <c r="D311" s="55" t="s">
        <v>3323</v>
      </c>
      <c r="E311" s="55" t="s">
        <v>3324</v>
      </c>
      <c r="F311" s="55" t="s">
        <v>2318</v>
      </c>
      <c r="I311" s="55" t="s">
        <v>805</v>
      </c>
    </row>
    <row r="312" customFormat="false" ht="11.25" hidden="false" customHeight="true" outlineLevel="0" collapsed="false">
      <c r="A312" s="55" t="s">
        <v>2243</v>
      </c>
      <c r="B312" s="55" t="s">
        <v>16</v>
      </c>
      <c r="C312" s="55" t="s">
        <v>3325</v>
      </c>
      <c r="D312" s="55" t="s">
        <v>3326</v>
      </c>
      <c r="E312" s="55" t="s">
        <v>3327</v>
      </c>
      <c r="F312" s="55" t="s">
        <v>2371</v>
      </c>
      <c r="I312" s="55" t="s">
        <v>805</v>
      </c>
    </row>
    <row r="313" customFormat="false" ht="11.25" hidden="false" customHeight="true" outlineLevel="0" collapsed="false">
      <c r="A313" s="55" t="s">
        <v>2243</v>
      </c>
      <c r="B313" s="55" t="s">
        <v>16</v>
      </c>
      <c r="C313" s="55" t="s">
        <v>3328</v>
      </c>
      <c r="D313" s="55" t="s">
        <v>3329</v>
      </c>
      <c r="E313" s="55" t="s">
        <v>3330</v>
      </c>
      <c r="F313" s="55" t="s">
        <v>2318</v>
      </c>
      <c r="I313" s="55" t="s">
        <v>805</v>
      </c>
    </row>
    <row r="314" customFormat="false" ht="11.25" hidden="false" customHeight="true" outlineLevel="0" collapsed="false">
      <c r="A314" s="55" t="s">
        <v>2243</v>
      </c>
      <c r="B314" s="55" t="s">
        <v>16</v>
      </c>
      <c r="C314" s="55" t="s">
        <v>3331</v>
      </c>
      <c r="D314" s="55" t="s">
        <v>3332</v>
      </c>
      <c r="E314" s="55" t="s">
        <v>3333</v>
      </c>
      <c r="F314" s="55" t="s">
        <v>2672</v>
      </c>
      <c r="I314" s="55" t="s">
        <v>805</v>
      </c>
    </row>
    <row r="315" customFormat="false" ht="11.25" hidden="false" customHeight="true" outlineLevel="0" collapsed="false">
      <c r="A315" s="55" t="s">
        <v>2243</v>
      </c>
      <c r="B315" s="55" t="s">
        <v>16</v>
      </c>
      <c r="C315" s="55" t="s">
        <v>3334</v>
      </c>
      <c r="D315" s="55" t="s">
        <v>3335</v>
      </c>
      <c r="E315" s="55" t="s">
        <v>3336</v>
      </c>
      <c r="F315" s="55" t="s">
        <v>2470</v>
      </c>
      <c r="I315" s="55" t="s">
        <v>805</v>
      </c>
    </row>
    <row r="316" customFormat="false" ht="11.25" hidden="false" customHeight="true" outlineLevel="0" collapsed="false">
      <c r="A316" s="55" t="s">
        <v>2243</v>
      </c>
      <c r="B316" s="55" t="s">
        <v>16</v>
      </c>
      <c r="C316" s="55" t="s">
        <v>3337</v>
      </c>
      <c r="D316" s="55" t="s">
        <v>3338</v>
      </c>
      <c r="E316" s="55" t="s">
        <v>3339</v>
      </c>
      <c r="F316" s="55" t="s">
        <v>2566</v>
      </c>
      <c r="I316" s="55" t="s">
        <v>805</v>
      </c>
    </row>
    <row r="317" customFormat="false" ht="11.25" hidden="false" customHeight="true" outlineLevel="0" collapsed="false">
      <c r="A317" s="55" t="s">
        <v>2243</v>
      </c>
      <c r="B317" s="55" t="s">
        <v>16</v>
      </c>
      <c r="C317" s="55" t="s">
        <v>3340</v>
      </c>
      <c r="D317" s="55" t="s">
        <v>3341</v>
      </c>
      <c r="E317" s="55" t="s">
        <v>3342</v>
      </c>
      <c r="F317" s="55" t="s">
        <v>2247</v>
      </c>
      <c r="I317" s="55" t="s">
        <v>805</v>
      </c>
    </row>
    <row r="318" customFormat="false" ht="11.25" hidden="false" customHeight="true" outlineLevel="0" collapsed="false">
      <c r="A318" s="55" t="s">
        <v>2243</v>
      </c>
      <c r="B318" s="55" t="s">
        <v>16</v>
      </c>
      <c r="C318" s="55" t="s">
        <v>3343</v>
      </c>
      <c r="D318" s="55" t="s">
        <v>3344</v>
      </c>
      <c r="E318" s="55" t="s">
        <v>3345</v>
      </c>
      <c r="F318" s="55" t="s">
        <v>2371</v>
      </c>
      <c r="I318" s="55" t="s">
        <v>805</v>
      </c>
    </row>
    <row r="319" customFormat="false" ht="11.25" hidden="false" customHeight="true" outlineLevel="0" collapsed="false">
      <c r="A319" s="55" t="s">
        <v>2243</v>
      </c>
      <c r="B319" s="55" t="s">
        <v>16</v>
      </c>
      <c r="C319" s="55" t="s">
        <v>3346</v>
      </c>
      <c r="D319" s="55" t="s">
        <v>3347</v>
      </c>
      <c r="E319" s="55" t="s">
        <v>3348</v>
      </c>
      <c r="F319" s="55" t="s">
        <v>2309</v>
      </c>
      <c r="I319" s="55" t="s">
        <v>805</v>
      </c>
    </row>
    <row r="320" customFormat="false" ht="11.25" hidden="false" customHeight="true" outlineLevel="0" collapsed="false">
      <c r="A320" s="55" t="s">
        <v>2243</v>
      </c>
      <c r="B320" s="55" t="s">
        <v>16</v>
      </c>
      <c r="C320" s="55" t="s">
        <v>3349</v>
      </c>
      <c r="D320" s="55" t="s">
        <v>3350</v>
      </c>
      <c r="E320" s="55" t="s">
        <v>3351</v>
      </c>
      <c r="F320" s="55" t="s">
        <v>2318</v>
      </c>
      <c r="I320" s="55" t="s">
        <v>805</v>
      </c>
    </row>
    <row r="321" customFormat="false" ht="11.25" hidden="false" customHeight="true" outlineLevel="0" collapsed="false">
      <c r="A321" s="55" t="s">
        <v>2243</v>
      </c>
      <c r="B321" s="55" t="s">
        <v>16</v>
      </c>
      <c r="C321" s="55" t="s">
        <v>3352</v>
      </c>
      <c r="D321" s="55" t="s">
        <v>3353</v>
      </c>
      <c r="E321" s="55" t="s">
        <v>3354</v>
      </c>
      <c r="F321" s="55" t="s">
        <v>2470</v>
      </c>
      <c r="I321" s="55" t="s">
        <v>805</v>
      </c>
    </row>
    <row r="322" customFormat="false" ht="11.25" hidden="false" customHeight="true" outlineLevel="0" collapsed="false">
      <c r="A322" s="55" t="s">
        <v>2243</v>
      </c>
      <c r="B322" s="55" t="s">
        <v>16</v>
      </c>
      <c r="C322" s="55" t="s">
        <v>3355</v>
      </c>
      <c r="D322" s="55" t="s">
        <v>3356</v>
      </c>
      <c r="E322" s="55" t="s">
        <v>3357</v>
      </c>
      <c r="F322" s="55" t="s">
        <v>2291</v>
      </c>
      <c r="G322" s="55" t="s">
        <v>3358</v>
      </c>
      <c r="I322" s="55" t="s">
        <v>805</v>
      </c>
    </row>
    <row r="323" customFormat="false" ht="11.25" hidden="false" customHeight="true" outlineLevel="0" collapsed="false">
      <c r="A323" s="55" t="s">
        <v>2243</v>
      </c>
      <c r="B323" s="55" t="s">
        <v>16</v>
      </c>
      <c r="C323" s="55" t="s">
        <v>3359</v>
      </c>
      <c r="D323" s="55" t="s">
        <v>3360</v>
      </c>
      <c r="E323" s="55" t="s">
        <v>3361</v>
      </c>
      <c r="F323" s="55" t="s">
        <v>2558</v>
      </c>
      <c r="I323" s="55" t="s">
        <v>805</v>
      </c>
    </row>
    <row r="324" customFormat="false" ht="11.25" hidden="false" customHeight="true" outlineLevel="0" collapsed="false">
      <c r="A324" s="55" t="s">
        <v>2243</v>
      </c>
      <c r="B324" s="55" t="s">
        <v>16</v>
      </c>
      <c r="C324" s="55" t="s">
        <v>3362</v>
      </c>
      <c r="D324" s="55" t="s">
        <v>3363</v>
      </c>
      <c r="E324" s="55" t="s">
        <v>3364</v>
      </c>
      <c r="F324" s="55" t="s">
        <v>2672</v>
      </c>
      <c r="I324" s="55" t="s">
        <v>805</v>
      </c>
    </row>
    <row r="325" customFormat="false" ht="11.25" hidden="false" customHeight="true" outlineLevel="0" collapsed="false">
      <c r="A325" s="55" t="s">
        <v>2243</v>
      </c>
      <c r="B325" s="55" t="s">
        <v>16</v>
      </c>
      <c r="C325" s="55" t="s">
        <v>3365</v>
      </c>
      <c r="D325" s="55" t="s">
        <v>3366</v>
      </c>
      <c r="E325" s="55" t="s">
        <v>3367</v>
      </c>
      <c r="F325" s="55" t="s">
        <v>2247</v>
      </c>
      <c r="I325" s="55" t="s">
        <v>805</v>
      </c>
    </row>
    <row r="326" customFormat="false" ht="11.25" hidden="false" customHeight="true" outlineLevel="0" collapsed="false">
      <c r="A326" s="55" t="s">
        <v>2243</v>
      </c>
      <c r="B326" s="55" t="s">
        <v>16</v>
      </c>
      <c r="C326" s="55" t="s">
        <v>3368</v>
      </c>
      <c r="D326" s="55" t="s">
        <v>3369</v>
      </c>
      <c r="E326" s="55" t="s">
        <v>3370</v>
      </c>
      <c r="F326" s="55" t="s">
        <v>2247</v>
      </c>
      <c r="I326" s="55" t="s">
        <v>805</v>
      </c>
    </row>
    <row r="327" customFormat="false" ht="11.25" hidden="false" customHeight="true" outlineLevel="0" collapsed="false">
      <c r="A327" s="55" t="s">
        <v>2243</v>
      </c>
      <c r="B327" s="55" t="s">
        <v>16</v>
      </c>
      <c r="C327" s="55" t="s">
        <v>3371</v>
      </c>
      <c r="D327" s="55" t="s">
        <v>3372</v>
      </c>
      <c r="E327" s="55" t="s">
        <v>3373</v>
      </c>
      <c r="F327" s="55" t="s">
        <v>2314</v>
      </c>
      <c r="I327" s="55" t="s">
        <v>805</v>
      </c>
    </row>
    <row r="328" customFormat="false" ht="11.25" hidden="false" customHeight="true" outlineLevel="0" collapsed="false">
      <c r="A328" s="55" t="s">
        <v>2243</v>
      </c>
      <c r="B328" s="55" t="s">
        <v>16</v>
      </c>
      <c r="C328" s="55" t="s">
        <v>3374</v>
      </c>
      <c r="D328" s="55" t="s">
        <v>3375</v>
      </c>
      <c r="E328" s="55" t="s">
        <v>3376</v>
      </c>
      <c r="F328" s="55" t="s">
        <v>2357</v>
      </c>
      <c r="I328" s="55" t="s">
        <v>805</v>
      </c>
    </row>
    <row r="329" customFormat="false" ht="11.25" hidden="false" customHeight="true" outlineLevel="0" collapsed="false">
      <c r="A329" s="55" t="s">
        <v>2243</v>
      </c>
      <c r="B329" s="55" t="s">
        <v>16</v>
      </c>
      <c r="C329" s="55" t="s">
        <v>3377</v>
      </c>
      <c r="D329" s="55" t="s">
        <v>3378</v>
      </c>
      <c r="E329" s="55" t="s">
        <v>3379</v>
      </c>
      <c r="F329" s="55" t="s">
        <v>2371</v>
      </c>
      <c r="I329" s="55" t="s">
        <v>805</v>
      </c>
    </row>
    <row r="330" customFormat="false" ht="11.25" hidden="false" customHeight="true" outlineLevel="0" collapsed="false">
      <c r="A330" s="55" t="s">
        <v>2243</v>
      </c>
      <c r="B330" s="55" t="s">
        <v>16</v>
      </c>
      <c r="C330" s="55" t="s">
        <v>3380</v>
      </c>
      <c r="D330" s="55" t="s">
        <v>3381</v>
      </c>
      <c r="E330" s="55" t="s">
        <v>3382</v>
      </c>
      <c r="F330" s="55" t="s">
        <v>2558</v>
      </c>
      <c r="I330" s="55" t="s">
        <v>805</v>
      </c>
    </row>
    <row r="331" customFormat="false" ht="11.25" hidden="false" customHeight="true" outlineLevel="0" collapsed="false">
      <c r="A331" s="55" t="s">
        <v>2243</v>
      </c>
      <c r="B331" s="55" t="s">
        <v>16</v>
      </c>
      <c r="C331" s="55" t="s">
        <v>3383</v>
      </c>
      <c r="D331" s="55" t="s">
        <v>3384</v>
      </c>
      <c r="E331" s="55" t="s">
        <v>3385</v>
      </c>
      <c r="F331" s="55" t="s">
        <v>2283</v>
      </c>
      <c r="I331" s="55" t="s">
        <v>805</v>
      </c>
    </row>
    <row r="332" customFormat="false" ht="11.25" hidden="false" customHeight="true" outlineLevel="0" collapsed="false">
      <c r="A332" s="55" t="s">
        <v>2243</v>
      </c>
      <c r="B332" s="55" t="s">
        <v>16</v>
      </c>
      <c r="C332" s="55" t="s">
        <v>3386</v>
      </c>
      <c r="D332" s="55" t="s">
        <v>3387</v>
      </c>
      <c r="E332" s="55" t="s">
        <v>3388</v>
      </c>
      <c r="F332" s="55" t="s">
        <v>2371</v>
      </c>
      <c r="I332" s="55" t="s">
        <v>805</v>
      </c>
    </row>
    <row r="333" customFormat="false" ht="11.25" hidden="false" customHeight="true" outlineLevel="0" collapsed="false">
      <c r="A333" s="55" t="s">
        <v>2243</v>
      </c>
      <c r="B333" s="55" t="s">
        <v>16</v>
      </c>
      <c r="C333" s="55" t="s">
        <v>3389</v>
      </c>
      <c r="D333" s="55" t="s">
        <v>3390</v>
      </c>
      <c r="E333" s="55" t="s">
        <v>3391</v>
      </c>
      <c r="F333" s="55" t="s">
        <v>2247</v>
      </c>
      <c r="I333" s="55" t="s">
        <v>805</v>
      </c>
    </row>
    <row r="334" customFormat="false" ht="11.25" hidden="false" customHeight="true" outlineLevel="0" collapsed="false">
      <c r="A334" s="55" t="s">
        <v>2243</v>
      </c>
      <c r="B334" s="55" t="s">
        <v>16</v>
      </c>
      <c r="C334" s="55" t="s">
        <v>3392</v>
      </c>
      <c r="D334" s="55" t="s">
        <v>3393</v>
      </c>
      <c r="E334" s="55" t="s">
        <v>3394</v>
      </c>
      <c r="F334" s="55" t="s">
        <v>2318</v>
      </c>
      <c r="I334" s="55" t="s">
        <v>805</v>
      </c>
    </row>
    <row r="335" customFormat="false" ht="11.25" hidden="false" customHeight="true" outlineLevel="0" collapsed="false">
      <c r="A335" s="55" t="s">
        <v>2243</v>
      </c>
      <c r="B335" s="55" t="s">
        <v>16</v>
      </c>
      <c r="C335" s="55" t="s">
        <v>3395</v>
      </c>
      <c r="D335" s="55" t="s">
        <v>3396</v>
      </c>
      <c r="E335" s="55" t="s">
        <v>3397</v>
      </c>
      <c r="F335" s="55" t="s">
        <v>2329</v>
      </c>
      <c r="I335" s="55" t="s">
        <v>805</v>
      </c>
    </row>
    <row r="336" customFormat="false" ht="11.25" hidden="false" customHeight="true" outlineLevel="0" collapsed="false">
      <c r="A336" s="55" t="s">
        <v>2243</v>
      </c>
      <c r="B336" s="55" t="s">
        <v>16</v>
      </c>
      <c r="C336" s="55" t="s">
        <v>3398</v>
      </c>
      <c r="D336" s="55" t="s">
        <v>3399</v>
      </c>
      <c r="E336" s="55" t="s">
        <v>3400</v>
      </c>
      <c r="F336" s="55" t="s">
        <v>2318</v>
      </c>
      <c r="I336" s="55" t="s">
        <v>805</v>
      </c>
    </row>
    <row r="337" customFormat="false" ht="11.25" hidden="false" customHeight="true" outlineLevel="0" collapsed="false">
      <c r="A337" s="55" t="s">
        <v>2243</v>
      </c>
      <c r="B337" s="55" t="s">
        <v>16</v>
      </c>
      <c r="C337" s="55" t="s">
        <v>3401</v>
      </c>
      <c r="D337" s="55" t="s">
        <v>3402</v>
      </c>
      <c r="E337" s="55" t="s">
        <v>3403</v>
      </c>
      <c r="F337" s="55" t="s">
        <v>2291</v>
      </c>
      <c r="I337" s="55" t="s">
        <v>805</v>
      </c>
    </row>
    <row r="338" customFormat="false" ht="11.25" hidden="false" customHeight="true" outlineLevel="0" collapsed="false">
      <c r="A338" s="55" t="s">
        <v>2243</v>
      </c>
      <c r="B338" s="55" t="s">
        <v>16</v>
      </c>
      <c r="C338" s="55" t="s">
        <v>3404</v>
      </c>
      <c r="D338" s="55" t="s">
        <v>3405</v>
      </c>
      <c r="E338" s="55" t="s">
        <v>3406</v>
      </c>
      <c r="F338" s="55" t="s">
        <v>2329</v>
      </c>
      <c r="I338" s="55" t="s">
        <v>805</v>
      </c>
    </row>
    <row r="339" customFormat="false" ht="11.25" hidden="false" customHeight="true" outlineLevel="0" collapsed="false">
      <c r="A339" s="55" t="s">
        <v>2243</v>
      </c>
      <c r="B339" s="55" t="s">
        <v>16</v>
      </c>
      <c r="C339" s="55" t="s">
        <v>3407</v>
      </c>
      <c r="D339" s="55" t="s">
        <v>3408</v>
      </c>
      <c r="E339" s="55" t="s">
        <v>3409</v>
      </c>
      <c r="F339" s="55" t="s">
        <v>2318</v>
      </c>
      <c r="I339" s="55" t="s">
        <v>805</v>
      </c>
    </row>
    <row r="340" customFormat="false" ht="11.25" hidden="false" customHeight="true" outlineLevel="0" collapsed="false">
      <c r="A340" s="55" t="s">
        <v>2243</v>
      </c>
      <c r="B340" s="55" t="s">
        <v>16</v>
      </c>
      <c r="C340" s="55" t="s">
        <v>3410</v>
      </c>
      <c r="D340" s="55" t="s">
        <v>3411</v>
      </c>
      <c r="E340" s="55" t="s">
        <v>3412</v>
      </c>
      <c r="F340" s="55" t="s">
        <v>3413</v>
      </c>
      <c r="I340" s="55" t="s">
        <v>805</v>
      </c>
    </row>
    <row r="341" customFormat="false" ht="11.25" hidden="false" customHeight="true" outlineLevel="0" collapsed="false">
      <c r="A341" s="55" t="s">
        <v>2243</v>
      </c>
      <c r="B341" s="55" t="s">
        <v>16</v>
      </c>
      <c r="C341" s="55" t="s">
        <v>3414</v>
      </c>
      <c r="D341" s="55" t="s">
        <v>3415</v>
      </c>
      <c r="E341" s="55" t="s">
        <v>3416</v>
      </c>
      <c r="F341" s="55" t="s">
        <v>3417</v>
      </c>
      <c r="I341" s="55" t="s">
        <v>805</v>
      </c>
    </row>
    <row r="342" customFormat="false" ht="11.25" hidden="false" customHeight="true" outlineLevel="0" collapsed="false">
      <c r="A342" s="55" t="s">
        <v>2243</v>
      </c>
      <c r="B342" s="55" t="s">
        <v>16</v>
      </c>
      <c r="C342" s="55" t="s">
        <v>3418</v>
      </c>
      <c r="D342" s="55" t="s">
        <v>3419</v>
      </c>
      <c r="E342" s="55" t="s">
        <v>3420</v>
      </c>
      <c r="F342" s="55" t="s">
        <v>2672</v>
      </c>
      <c r="I342" s="55" t="s">
        <v>805</v>
      </c>
    </row>
    <row r="343" customFormat="false" ht="11.25" hidden="false" customHeight="true" outlineLevel="0" collapsed="false">
      <c r="A343" s="55" t="s">
        <v>2243</v>
      </c>
      <c r="B343" s="55" t="s">
        <v>16</v>
      </c>
      <c r="C343" s="55" t="s">
        <v>3421</v>
      </c>
      <c r="D343" s="55" t="s">
        <v>3422</v>
      </c>
      <c r="E343" s="55" t="s">
        <v>3423</v>
      </c>
      <c r="F343" s="55" t="s">
        <v>3424</v>
      </c>
      <c r="I343" s="55" t="s">
        <v>805</v>
      </c>
    </row>
    <row r="344" customFormat="false" ht="11.25" hidden="false" customHeight="true" outlineLevel="0" collapsed="false">
      <c r="A344" s="55" t="s">
        <v>2243</v>
      </c>
      <c r="B344" s="55" t="s">
        <v>16</v>
      </c>
      <c r="C344" s="55" t="s">
        <v>3425</v>
      </c>
      <c r="D344" s="55" t="s">
        <v>3426</v>
      </c>
      <c r="E344" s="55" t="s">
        <v>3427</v>
      </c>
      <c r="F344" s="55" t="s">
        <v>2387</v>
      </c>
      <c r="I344" s="55" t="s">
        <v>805</v>
      </c>
    </row>
    <row r="345" customFormat="false" ht="11.25" hidden="false" customHeight="true" outlineLevel="0" collapsed="false">
      <c r="A345" s="55" t="s">
        <v>2243</v>
      </c>
      <c r="B345" s="55" t="s">
        <v>16</v>
      </c>
      <c r="C345" s="55" t="s">
        <v>3428</v>
      </c>
      <c r="D345" s="55" t="s">
        <v>3429</v>
      </c>
      <c r="E345" s="55" t="s">
        <v>3430</v>
      </c>
      <c r="F345" s="55" t="s">
        <v>2247</v>
      </c>
      <c r="I345" s="55" t="s">
        <v>805</v>
      </c>
    </row>
    <row r="346" customFormat="false" ht="11.25" hidden="false" customHeight="true" outlineLevel="0" collapsed="false">
      <c r="A346" s="55" t="s">
        <v>2243</v>
      </c>
      <c r="B346" s="55" t="s">
        <v>16</v>
      </c>
      <c r="C346" s="55" t="s">
        <v>3431</v>
      </c>
      <c r="D346" s="55" t="s">
        <v>3432</v>
      </c>
      <c r="E346" s="55" t="s">
        <v>3433</v>
      </c>
      <c r="F346" s="55" t="s">
        <v>2318</v>
      </c>
      <c r="I346" s="55" t="s">
        <v>805</v>
      </c>
    </row>
    <row r="347" customFormat="false" ht="11.25" hidden="false" customHeight="true" outlineLevel="0" collapsed="false">
      <c r="A347" s="55" t="s">
        <v>2243</v>
      </c>
      <c r="B347" s="55" t="s">
        <v>16</v>
      </c>
      <c r="C347" s="55" t="s">
        <v>3434</v>
      </c>
      <c r="D347" s="55" t="s">
        <v>3435</v>
      </c>
      <c r="E347" s="55" t="s">
        <v>3436</v>
      </c>
      <c r="F347" s="55" t="s">
        <v>2247</v>
      </c>
      <c r="I347" s="55" t="s">
        <v>805</v>
      </c>
    </row>
    <row r="348" customFormat="false" ht="11.25" hidden="false" customHeight="true" outlineLevel="0" collapsed="false">
      <c r="A348" s="55" t="s">
        <v>2243</v>
      </c>
      <c r="B348" s="55" t="s">
        <v>16</v>
      </c>
      <c r="C348" s="55" t="s">
        <v>3437</v>
      </c>
      <c r="D348" s="55" t="s">
        <v>3438</v>
      </c>
      <c r="E348" s="55" t="s">
        <v>3439</v>
      </c>
      <c r="F348" s="55" t="s">
        <v>2314</v>
      </c>
      <c r="I348" s="55" t="s">
        <v>805</v>
      </c>
    </row>
    <row r="349" customFormat="false" ht="11.25" hidden="false" customHeight="true" outlineLevel="0" collapsed="false">
      <c r="A349" s="55" t="s">
        <v>2243</v>
      </c>
      <c r="B349" s="55" t="s">
        <v>16</v>
      </c>
      <c r="C349" s="55" t="s">
        <v>3440</v>
      </c>
      <c r="D349" s="55" t="s">
        <v>3441</v>
      </c>
      <c r="E349" s="55" t="s">
        <v>3442</v>
      </c>
      <c r="F349" s="55" t="s">
        <v>2309</v>
      </c>
      <c r="I349" s="55" t="s">
        <v>805</v>
      </c>
    </row>
    <row r="350" customFormat="false" ht="11.25" hidden="false" customHeight="true" outlineLevel="0" collapsed="false">
      <c r="A350" s="55" t="s">
        <v>2243</v>
      </c>
      <c r="B350" s="55" t="s">
        <v>16</v>
      </c>
      <c r="C350" s="55" t="s">
        <v>3443</v>
      </c>
      <c r="D350" s="55" t="s">
        <v>3444</v>
      </c>
      <c r="E350" s="55" t="s">
        <v>3445</v>
      </c>
      <c r="F350" s="55" t="s">
        <v>2371</v>
      </c>
      <c r="I350" s="55" t="s">
        <v>805</v>
      </c>
    </row>
    <row r="351" customFormat="false" ht="11.25" hidden="false" customHeight="true" outlineLevel="0" collapsed="false">
      <c r="A351" s="55" t="s">
        <v>2243</v>
      </c>
      <c r="B351" s="55" t="s">
        <v>16</v>
      </c>
      <c r="C351" s="55" t="s">
        <v>3446</v>
      </c>
      <c r="D351" s="55" t="s">
        <v>3447</v>
      </c>
      <c r="E351" s="55" t="s">
        <v>3297</v>
      </c>
      <c r="F351" s="55" t="s">
        <v>2470</v>
      </c>
      <c r="I351" s="55" t="s">
        <v>805</v>
      </c>
    </row>
    <row r="352" customFormat="false" ht="11.25" hidden="false" customHeight="true" outlineLevel="0" collapsed="false">
      <c r="A352" s="55" t="s">
        <v>2243</v>
      </c>
      <c r="B352" s="55" t="s">
        <v>16</v>
      </c>
      <c r="C352" s="55" t="s">
        <v>3448</v>
      </c>
      <c r="D352" s="55" t="s">
        <v>3449</v>
      </c>
      <c r="E352" s="55" t="s">
        <v>3450</v>
      </c>
      <c r="F352" s="55" t="s">
        <v>2247</v>
      </c>
      <c r="I352" s="55" t="s">
        <v>805</v>
      </c>
    </row>
    <row r="353" customFormat="false" ht="11.25" hidden="false" customHeight="true" outlineLevel="0" collapsed="false">
      <c r="A353" s="55" t="s">
        <v>2243</v>
      </c>
      <c r="B353" s="55" t="s">
        <v>16</v>
      </c>
      <c r="C353" s="55" t="s">
        <v>3451</v>
      </c>
      <c r="D353" s="55" t="s">
        <v>3452</v>
      </c>
      <c r="E353" s="55" t="s">
        <v>3453</v>
      </c>
      <c r="F353" s="55" t="s">
        <v>2318</v>
      </c>
      <c r="I353" s="55" t="s">
        <v>805</v>
      </c>
    </row>
    <row r="354" customFormat="false" ht="11.25" hidden="false" customHeight="true" outlineLevel="0" collapsed="false">
      <c r="A354" s="55" t="s">
        <v>2243</v>
      </c>
      <c r="B354" s="55" t="s">
        <v>16</v>
      </c>
      <c r="C354" s="55" t="s">
        <v>3454</v>
      </c>
      <c r="D354" s="55" t="s">
        <v>3455</v>
      </c>
      <c r="E354" s="55" t="s">
        <v>3456</v>
      </c>
      <c r="F354" s="55" t="s">
        <v>2371</v>
      </c>
      <c r="I354" s="55" t="s">
        <v>805</v>
      </c>
    </row>
    <row r="355" customFormat="false" ht="11.25" hidden="false" customHeight="true" outlineLevel="0" collapsed="false">
      <c r="A355" s="55" t="s">
        <v>2243</v>
      </c>
      <c r="B355" s="55" t="s">
        <v>16</v>
      </c>
      <c r="C355" s="55" t="s">
        <v>3457</v>
      </c>
      <c r="D355" s="55" t="s">
        <v>3458</v>
      </c>
      <c r="E355" s="55" t="s">
        <v>3459</v>
      </c>
      <c r="F355" s="55" t="s">
        <v>2291</v>
      </c>
      <c r="I355" s="55" t="s">
        <v>805</v>
      </c>
    </row>
    <row r="356" customFormat="false" ht="11.25" hidden="false" customHeight="true" outlineLevel="0" collapsed="false">
      <c r="A356" s="55" t="s">
        <v>2243</v>
      </c>
      <c r="B356" s="55" t="s">
        <v>16</v>
      </c>
      <c r="C356" s="55" t="s">
        <v>3460</v>
      </c>
      <c r="D356" s="55" t="s">
        <v>3461</v>
      </c>
      <c r="E356" s="55" t="s">
        <v>3462</v>
      </c>
      <c r="F356" s="55" t="s">
        <v>2318</v>
      </c>
      <c r="I356" s="55" t="s">
        <v>805</v>
      </c>
    </row>
    <row r="357" customFormat="false" ht="11.25" hidden="false" customHeight="true" outlineLevel="0" collapsed="false">
      <c r="A357" s="55" t="s">
        <v>2243</v>
      </c>
      <c r="B357" s="55" t="s">
        <v>16</v>
      </c>
      <c r="C357" s="55" t="s">
        <v>3463</v>
      </c>
      <c r="D357" s="55" t="s">
        <v>3464</v>
      </c>
      <c r="E357" s="55" t="s">
        <v>3465</v>
      </c>
      <c r="F357" s="55" t="s">
        <v>2470</v>
      </c>
      <c r="I357" s="55" t="s">
        <v>805</v>
      </c>
    </row>
    <row r="358" customFormat="false" ht="11.25" hidden="false" customHeight="true" outlineLevel="0" collapsed="false">
      <c r="A358" s="55" t="s">
        <v>2243</v>
      </c>
      <c r="B358" s="55" t="s">
        <v>16</v>
      </c>
      <c r="C358" s="55" t="s">
        <v>3466</v>
      </c>
      <c r="D358" s="55" t="s">
        <v>3467</v>
      </c>
      <c r="E358" s="55" t="s">
        <v>3468</v>
      </c>
      <c r="F358" s="55" t="s">
        <v>2470</v>
      </c>
      <c r="I358" s="55" t="s">
        <v>805</v>
      </c>
    </row>
    <row r="359" customFormat="false" ht="11.25" hidden="false" customHeight="true" outlineLevel="0" collapsed="false">
      <c r="A359" s="55" t="s">
        <v>2243</v>
      </c>
      <c r="B359" s="55" t="s">
        <v>16</v>
      </c>
      <c r="C359" s="55" t="s">
        <v>3469</v>
      </c>
      <c r="D359" s="55" t="s">
        <v>3470</v>
      </c>
      <c r="E359" s="55" t="s">
        <v>3471</v>
      </c>
      <c r="F359" s="55" t="s">
        <v>2247</v>
      </c>
      <c r="I359" s="55" t="s">
        <v>805</v>
      </c>
    </row>
    <row r="360" customFormat="false" ht="11.25" hidden="false" customHeight="true" outlineLevel="0" collapsed="false">
      <c r="A360" s="55" t="s">
        <v>2243</v>
      </c>
      <c r="B360" s="55" t="s">
        <v>16</v>
      </c>
      <c r="C360" s="55" t="s">
        <v>3472</v>
      </c>
      <c r="D360" s="55" t="s">
        <v>3473</v>
      </c>
      <c r="E360" s="55" t="s">
        <v>3474</v>
      </c>
      <c r="F360" s="55" t="s">
        <v>2291</v>
      </c>
      <c r="I360" s="55" t="s">
        <v>805</v>
      </c>
    </row>
    <row r="361" customFormat="false" ht="11.25" hidden="false" customHeight="true" outlineLevel="0" collapsed="false">
      <c r="A361" s="55" t="s">
        <v>2243</v>
      </c>
      <c r="B361" s="55" t="s">
        <v>16</v>
      </c>
      <c r="C361" s="55" t="s">
        <v>3475</v>
      </c>
      <c r="D361" s="55" t="s">
        <v>3476</v>
      </c>
      <c r="E361" s="55" t="s">
        <v>3477</v>
      </c>
      <c r="F361" s="55" t="s">
        <v>2247</v>
      </c>
      <c r="I361" s="55" t="s">
        <v>805</v>
      </c>
    </row>
    <row r="362" customFormat="false" ht="11.25" hidden="false" customHeight="true" outlineLevel="0" collapsed="false">
      <c r="A362" s="55" t="s">
        <v>2243</v>
      </c>
      <c r="B362" s="55" t="s">
        <v>16</v>
      </c>
      <c r="C362" s="55" t="s">
        <v>3478</v>
      </c>
      <c r="D362" s="55" t="s">
        <v>3479</v>
      </c>
      <c r="E362" s="55" t="s">
        <v>3480</v>
      </c>
      <c r="F362" s="55" t="s">
        <v>2291</v>
      </c>
      <c r="I362" s="55" t="s">
        <v>805</v>
      </c>
    </row>
    <row r="363" customFormat="false" ht="11.25" hidden="false" customHeight="true" outlineLevel="0" collapsed="false">
      <c r="A363" s="55" t="s">
        <v>2243</v>
      </c>
      <c r="B363" s="55" t="s">
        <v>16</v>
      </c>
      <c r="C363" s="55" t="s">
        <v>3481</v>
      </c>
      <c r="D363" s="55" t="s">
        <v>3482</v>
      </c>
      <c r="E363" s="55" t="s">
        <v>3483</v>
      </c>
      <c r="F363" s="55" t="s">
        <v>2329</v>
      </c>
      <c r="I363" s="55" t="s">
        <v>805</v>
      </c>
    </row>
    <row r="364" customFormat="false" ht="11.25" hidden="false" customHeight="true" outlineLevel="0" collapsed="false">
      <c r="A364" s="55" t="s">
        <v>2243</v>
      </c>
      <c r="B364" s="55" t="s">
        <v>16</v>
      </c>
      <c r="C364" s="55" t="s">
        <v>3484</v>
      </c>
      <c r="D364" s="55" t="s">
        <v>3485</v>
      </c>
      <c r="E364" s="55" t="s">
        <v>2255</v>
      </c>
      <c r="F364" s="55" t="s">
        <v>2449</v>
      </c>
      <c r="I364" s="55" t="s">
        <v>805</v>
      </c>
    </row>
    <row r="365" customFormat="false" ht="11.25" hidden="false" customHeight="true" outlineLevel="0" collapsed="false">
      <c r="A365" s="55" t="s">
        <v>2243</v>
      </c>
      <c r="B365" s="55" t="s">
        <v>16</v>
      </c>
      <c r="C365" s="55" t="s">
        <v>3486</v>
      </c>
      <c r="D365" s="55" t="s">
        <v>3487</v>
      </c>
      <c r="E365" s="55" t="s">
        <v>2297</v>
      </c>
      <c r="F365" s="55" t="s">
        <v>3488</v>
      </c>
      <c r="G365" s="55" t="s">
        <v>2302</v>
      </c>
      <c r="I365" s="55" t="s">
        <v>805</v>
      </c>
    </row>
    <row r="366" customFormat="false" ht="11.25" hidden="false" customHeight="true" outlineLevel="0" collapsed="false">
      <c r="A366" s="55" t="s">
        <v>2243</v>
      </c>
      <c r="B366" s="55" t="s">
        <v>16</v>
      </c>
      <c r="C366" s="55" t="s">
        <v>3489</v>
      </c>
      <c r="D366" s="55" t="s">
        <v>3490</v>
      </c>
      <c r="E366" s="55" t="s">
        <v>3491</v>
      </c>
      <c r="F366" s="55" t="s">
        <v>2566</v>
      </c>
      <c r="I366" s="55" t="s">
        <v>805</v>
      </c>
    </row>
    <row r="367" customFormat="false" ht="11.25" hidden="false" customHeight="true" outlineLevel="0" collapsed="false">
      <c r="A367" s="55" t="s">
        <v>2243</v>
      </c>
      <c r="B367" s="55" t="s">
        <v>16</v>
      </c>
      <c r="C367" s="55" t="s">
        <v>3492</v>
      </c>
      <c r="D367" s="55" t="s">
        <v>3493</v>
      </c>
      <c r="E367" s="55" t="s">
        <v>3494</v>
      </c>
      <c r="F367" s="55" t="s">
        <v>2329</v>
      </c>
      <c r="I367" s="55" t="s">
        <v>805</v>
      </c>
    </row>
    <row r="368" customFormat="false" ht="11.25" hidden="false" customHeight="true" outlineLevel="0" collapsed="false">
      <c r="A368" s="55" t="s">
        <v>2243</v>
      </c>
      <c r="B368" s="55" t="s">
        <v>16</v>
      </c>
      <c r="C368" s="55" t="s">
        <v>3495</v>
      </c>
      <c r="D368" s="55" t="s">
        <v>3496</v>
      </c>
      <c r="E368" s="55" t="s">
        <v>3497</v>
      </c>
      <c r="F368" s="55" t="s">
        <v>2291</v>
      </c>
      <c r="I368" s="55" t="s">
        <v>805</v>
      </c>
    </row>
    <row r="369" customFormat="false" ht="11.25" hidden="false" customHeight="true" outlineLevel="0" collapsed="false">
      <c r="A369" s="55" t="s">
        <v>2243</v>
      </c>
      <c r="B369" s="55" t="s">
        <v>16</v>
      </c>
      <c r="C369" s="55" t="s">
        <v>3498</v>
      </c>
      <c r="D369" s="55" t="s">
        <v>3499</v>
      </c>
      <c r="E369" s="55" t="s">
        <v>3500</v>
      </c>
      <c r="F369" s="55" t="s">
        <v>2247</v>
      </c>
      <c r="I369" s="55" t="s">
        <v>805</v>
      </c>
    </row>
    <row r="370" customFormat="false" ht="11.25" hidden="false" customHeight="true" outlineLevel="0" collapsed="false">
      <c r="A370" s="55" t="s">
        <v>2243</v>
      </c>
      <c r="B370" s="55" t="s">
        <v>16</v>
      </c>
      <c r="C370" s="55" t="s">
        <v>3501</v>
      </c>
      <c r="D370" s="55" t="s">
        <v>3502</v>
      </c>
      <c r="E370" s="55" t="s">
        <v>3503</v>
      </c>
      <c r="F370" s="55" t="s">
        <v>2371</v>
      </c>
      <c r="I370" s="55" t="s">
        <v>805</v>
      </c>
    </row>
    <row r="371" customFormat="false" ht="11.25" hidden="false" customHeight="true" outlineLevel="0" collapsed="false">
      <c r="A371" s="55" t="s">
        <v>2243</v>
      </c>
      <c r="B371" s="55" t="s">
        <v>16</v>
      </c>
      <c r="C371" s="55" t="s">
        <v>3504</v>
      </c>
      <c r="D371" s="55" t="s">
        <v>3505</v>
      </c>
      <c r="E371" s="55" t="s">
        <v>3506</v>
      </c>
      <c r="F371" s="55" t="s">
        <v>2314</v>
      </c>
      <c r="I371" s="55" t="s">
        <v>805</v>
      </c>
    </row>
    <row r="372" customFormat="false" ht="11.25" hidden="false" customHeight="true" outlineLevel="0" collapsed="false">
      <c r="A372" s="55" t="s">
        <v>2243</v>
      </c>
      <c r="B372" s="55" t="s">
        <v>16</v>
      </c>
      <c r="C372" s="55" t="s">
        <v>3507</v>
      </c>
      <c r="D372" s="55" t="s">
        <v>3508</v>
      </c>
      <c r="E372" s="55" t="s">
        <v>3509</v>
      </c>
      <c r="F372" s="55" t="s">
        <v>2566</v>
      </c>
      <c r="I372" s="55" t="s">
        <v>805</v>
      </c>
    </row>
    <row r="373" customFormat="false" ht="11.25" hidden="false" customHeight="true" outlineLevel="0" collapsed="false">
      <c r="A373" s="55" t="s">
        <v>2243</v>
      </c>
      <c r="B373" s="55" t="s">
        <v>16</v>
      </c>
      <c r="C373" s="55" t="s">
        <v>3510</v>
      </c>
      <c r="D373" s="55" t="s">
        <v>3511</v>
      </c>
      <c r="E373" s="55" t="s">
        <v>3512</v>
      </c>
      <c r="F373" s="55" t="s">
        <v>2318</v>
      </c>
      <c r="G373" s="55" t="s">
        <v>3513</v>
      </c>
      <c r="I373" s="55" t="s">
        <v>805</v>
      </c>
    </row>
    <row r="374" customFormat="false" ht="11.25" hidden="false" customHeight="true" outlineLevel="0" collapsed="false">
      <c r="A374" s="55" t="s">
        <v>2243</v>
      </c>
      <c r="B374" s="55" t="s">
        <v>16</v>
      </c>
      <c r="C374" s="55" t="s">
        <v>3514</v>
      </c>
      <c r="D374" s="55" t="s">
        <v>3515</v>
      </c>
      <c r="E374" s="55" t="s">
        <v>3516</v>
      </c>
      <c r="F374" s="55" t="s">
        <v>2470</v>
      </c>
      <c r="I374" s="55" t="s">
        <v>805</v>
      </c>
    </row>
    <row r="375" customFormat="false" ht="11.25" hidden="false" customHeight="true" outlineLevel="0" collapsed="false">
      <c r="A375" s="55" t="s">
        <v>2243</v>
      </c>
      <c r="B375" s="55" t="s">
        <v>16</v>
      </c>
      <c r="C375" s="55" t="s">
        <v>3517</v>
      </c>
      <c r="D375" s="55" t="s">
        <v>3518</v>
      </c>
      <c r="E375" s="55" t="s">
        <v>3519</v>
      </c>
      <c r="F375" s="55" t="s">
        <v>2291</v>
      </c>
      <c r="G375" s="55" t="s">
        <v>3520</v>
      </c>
      <c r="I375" s="55" t="s">
        <v>805</v>
      </c>
    </row>
    <row r="376" customFormat="false" ht="11.25" hidden="false" customHeight="true" outlineLevel="0" collapsed="false">
      <c r="A376" s="55" t="s">
        <v>2243</v>
      </c>
      <c r="B376" s="55" t="s">
        <v>16</v>
      </c>
      <c r="C376" s="55" t="s">
        <v>3521</v>
      </c>
      <c r="D376" s="55" t="s">
        <v>3522</v>
      </c>
      <c r="E376" s="55" t="s">
        <v>3523</v>
      </c>
      <c r="F376" s="55" t="s">
        <v>2291</v>
      </c>
      <c r="I376" s="55" t="s">
        <v>805</v>
      </c>
    </row>
    <row r="377" customFormat="false" ht="11.25" hidden="false" customHeight="true" outlineLevel="0" collapsed="false">
      <c r="A377" s="55" t="s">
        <v>2243</v>
      </c>
      <c r="B377" s="55" t="s">
        <v>16</v>
      </c>
      <c r="C377" s="55" t="s">
        <v>3524</v>
      </c>
      <c r="D377" s="55" t="s">
        <v>3525</v>
      </c>
      <c r="E377" s="55" t="s">
        <v>3526</v>
      </c>
      <c r="F377" s="55" t="s">
        <v>2314</v>
      </c>
      <c r="I377" s="55" t="s">
        <v>805</v>
      </c>
    </row>
    <row r="378" customFormat="false" ht="11.25" hidden="false" customHeight="true" outlineLevel="0" collapsed="false">
      <c r="A378" s="55" t="s">
        <v>2243</v>
      </c>
      <c r="B378" s="55" t="s">
        <v>16</v>
      </c>
      <c r="C378" s="55" t="s">
        <v>3527</v>
      </c>
      <c r="D378" s="55" t="s">
        <v>3528</v>
      </c>
      <c r="E378" s="55" t="s">
        <v>3529</v>
      </c>
      <c r="F378" s="55" t="s">
        <v>2716</v>
      </c>
      <c r="G378" s="55" t="s">
        <v>3530</v>
      </c>
      <c r="I378" s="55" t="s">
        <v>805</v>
      </c>
    </row>
    <row r="379" customFormat="false" ht="11.25" hidden="false" customHeight="true" outlineLevel="0" collapsed="false">
      <c r="A379" s="55" t="s">
        <v>2243</v>
      </c>
      <c r="B379" s="55" t="s">
        <v>16</v>
      </c>
      <c r="C379" s="55" t="s">
        <v>3531</v>
      </c>
      <c r="D379" s="55" t="s">
        <v>3532</v>
      </c>
      <c r="E379" s="55" t="s">
        <v>3533</v>
      </c>
      <c r="F379" s="55" t="s">
        <v>2314</v>
      </c>
      <c r="G379" s="55" t="s">
        <v>3534</v>
      </c>
      <c r="I379" s="55" t="s">
        <v>805</v>
      </c>
    </row>
    <row r="380" customFormat="false" ht="11.25" hidden="false" customHeight="true" outlineLevel="0" collapsed="false">
      <c r="A380" s="55" t="s">
        <v>2243</v>
      </c>
      <c r="B380" s="55" t="s">
        <v>16</v>
      </c>
      <c r="C380" s="55" t="s">
        <v>3535</v>
      </c>
      <c r="D380" s="55" t="s">
        <v>3536</v>
      </c>
      <c r="E380" s="55" t="s">
        <v>3537</v>
      </c>
      <c r="F380" s="55" t="s">
        <v>2387</v>
      </c>
      <c r="I380" s="55" t="s">
        <v>805</v>
      </c>
    </row>
    <row r="381" customFormat="false" ht="11.25" hidden="false" customHeight="true" outlineLevel="0" collapsed="false">
      <c r="A381" s="55" t="s">
        <v>2243</v>
      </c>
      <c r="B381" s="55" t="s">
        <v>16</v>
      </c>
      <c r="C381" s="55" t="s">
        <v>3538</v>
      </c>
      <c r="D381" s="55" t="s">
        <v>3539</v>
      </c>
      <c r="E381" s="55" t="s">
        <v>3540</v>
      </c>
      <c r="F381" s="55" t="s">
        <v>2470</v>
      </c>
      <c r="G381" s="55" t="s">
        <v>3541</v>
      </c>
      <c r="I381" s="55" t="s">
        <v>805</v>
      </c>
    </row>
    <row r="382" customFormat="false" ht="11.25" hidden="false" customHeight="true" outlineLevel="0" collapsed="false">
      <c r="A382" s="55" t="s">
        <v>2243</v>
      </c>
      <c r="B382" s="55" t="s">
        <v>16</v>
      </c>
      <c r="C382" s="55" t="s">
        <v>3542</v>
      </c>
      <c r="D382" s="55" t="s">
        <v>3543</v>
      </c>
      <c r="E382" s="55" t="s">
        <v>3544</v>
      </c>
      <c r="F382" s="55" t="s">
        <v>2672</v>
      </c>
      <c r="G382" s="55" t="s">
        <v>3545</v>
      </c>
      <c r="I382" s="55" t="s">
        <v>805</v>
      </c>
    </row>
    <row r="383" customFormat="false" ht="11.25" hidden="false" customHeight="true" outlineLevel="0" collapsed="false">
      <c r="A383" s="55" t="s">
        <v>2243</v>
      </c>
      <c r="B383" s="55" t="s">
        <v>16</v>
      </c>
      <c r="C383" s="55" t="s">
        <v>3546</v>
      </c>
      <c r="D383" s="55" t="s">
        <v>3547</v>
      </c>
      <c r="E383" s="55" t="s">
        <v>3548</v>
      </c>
      <c r="F383" s="55" t="s">
        <v>2470</v>
      </c>
      <c r="I383" s="55" t="s">
        <v>805</v>
      </c>
    </row>
    <row r="384" customFormat="false" ht="11.25" hidden="false" customHeight="true" outlineLevel="0" collapsed="false">
      <c r="A384" s="55" t="s">
        <v>2243</v>
      </c>
      <c r="B384" s="55" t="s">
        <v>16</v>
      </c>
      <c r="C384" s="55" t="s">
        <v>3549</v>
      </c>
      <c r="D384" s="55" t="s">
        <v>3550</v>
      </c>
      <c r="E384" s="55" t="s">
        <v>3551</v>
      </c>
      <c r="F384" s="55" t="s">
        <v>2371</v>
      </c>
      <c r="I384" s="55" t="s">
        <v>805</v>
      </c>
    </row>
    <row r="385" customFormat="false" ht="11.25" hidden="false" customHeight="true" outlineLevel="0" collapsed="false">
      <c r="A385" s="55" t="s">
        <v>2243</v>
      </c>
      <c r="B385" s="55" t="s">
        <v>16</v>
      </c>
      <c r="C385" s="55" t="s">
        <v>3552</v>
      </c>
      <c r="D385" s="55" t="s">
        <v>3553</v>
      </c>
      <c r="E385" s="55" t="s">
        <v>3554</v>
      </c>
      <c r="F385" s="55" t="s">
        <v>2314</v>
      </c>
      <c r="I385" s="55" t="s">
        <v>805</v>
      </c>
    </row>
    <row r="386" customFormat="false" ht="11.25" hidden="false" customHeight="true" outlineLevel="0" collapsed="false">
      <c r="A386" s="55" t="s">
        <v>2243</v>
      </c>
      <c r="B386" s="55" t="s">
        <v>16</v>
      </c>
      <c r="C386" s="55" t="s">
        <v>3555</v>
      </c>
      <c r="D386" s="55" t="s">
        <v>3556</v>
      </c>
      <c r="E386" s="55" t="s">
        <v>3557</v>
      </c>
      <c r="F386" s="55" t="s">
        <v>2371</v>
      </c>
      <c r="I386" s="55" t="s">
        <v>805</v>
      </c>
    </row>
    <row r="387" customFormat="false" ht="11.25" hidden="false" customHeight="true" outlineLevel="0" collapsed="false">
      <c r="A387" s="55" t="s">
        <v>2243</v>
      </c>
      <c r="B387" s="55" t="s">
        <v>16</v>
      </c>
      <c r="C387" s="55" t="s">
        <v>3558</v>
      </c>
      <c r="D387" s="55" t="s">
        <v>3559</v>
      </c>
      <c r="E387" s="55" t="s">
        <v>3560</v>
      </c>
      <c r="F387" s="55" t="s">
        <v>3561</v>
      </c>
      <c r="I387" s="55" t="s">
        <v>805</v>
      </c>
    </row>
    <row r="388" customFormat="false" ht="11.25" hidden="false" customHeight="true" outlineLevel="0" collapsed="false">
      <c r="A388" s="55" t="s">
        <v>2243</v>
      </c>
      <c r="B388" s="55" t="s">
        <v>16</v>
      </c>
      <c r="C388" s="55" t="s">
        <v>3562</v>
      </c>
      <c r="D388" s="55" t="s">
        <v>3563</v>
      </c>
      <c r="E388" s="55" t="s">
        <v>3560</v>
      </c>
      <c r="F388" s="55" t="s">
        <v>2314</v>
      </c>
      <c r="I388" s="55" t="s">
        <v>805</v>
      </c>
    </row>
    <row r="389" customFormat="false" ht="11.25" hidden="false" customHeight="true" outlineLevel="0" collapsed="false">
      <c r="A389" s="55" t="s">
        <v>2243</v>
      </c>
      <c r="B389" s="55" t="s">
        <v>16</v>
      </c>
      <c r="C389" s="55" t="s">
        <v>3564</v>
      </c>
      <c r="D389" s="55" t="s">
        <v>3565</v>
      </c>
      <c r="E389" s="55" t="s">
        <v>3560</v>
      </c>
      <c r="F389" s="55" t="s">
        <v>3566</v>
      </c>
      <c r="I389" s="55" t="s">
        <v>805</v>
      </c>
    </row>
    <row r="390" customFormat="false" ht="11.25" hidden="false" customHeight="true" outlineLevel="0" collapsed="false">
      <c r="A390" s="55" t="s">
        <v>2243</v>
      </c>
      <c r="B390" s="55" t="s">
        <v>16</v>
      </c>
      <c r="C390" s="55" t="s">
        <v>3567</v>
      </c>
      <c r="D390" s="55" t="s">
        <v>3568</v>
      </c>
      <c r="E390" s="55" t="s">
        <v>3560</v>
      </c>
      <c r="F390" s="55" t="s">
        <v>3569</v>
      </c>
      <c r="I390" s="55" t="s">
        <v>805</v>
      </c>
    </row>
    <row r="391" customFormat="false" ht="11.25" hidden="false" customHeight="true" outlineLevel="0" collapsed="false">
      <c r="A391" s="55" t="s">
        <v>2243</v>
      </c>
      <c r="B391" s="55" t="s">
        <v>16</v>
      </c>
      <c r="C391" s="55" t="s">
        <v>3570</v>
      </c>
      <c r="D391" s="55" t="s">
        <v>3571</v>
      </c>
      <c r="E391" s="55" t="s">
        <v>3560</v>
      </c>
      <c r="F391" s="55" t="s">
        <v>3572</v>
      </c>
      <c r="I391" s="55" t="s">
        <v>805</v>
      </c>
    </row>
    <row r="392" customFormat="false" ht="11.25" hidden="false" customHeight="true" outlineLevel="0" collapsed="false">
      <c r="A392" s="55" t="s">
        <v>2243</v>
      </c>
      <c r="B392" s="55" t="s">
        <v>16</v>
      </c>
      <c r="C392" s="55" t="s">
        <v>3573</v>
      </c>
      <c r="D392" s="55" t="s">
        <v>3574</v>
      </c>
      <c r="E392" s="55" t="s">
        <v>3560</v>
      </c>
      <c r="F392" s="55" t="s">
        <v>3575</v>
      </c>
      <c r="I392" s="55" t="s">
        <v>805</v>
      </c>
    </row>
    <row r="393" customFormat="false" ht="11.25" hidden="false" customHeight="true" outlineLevel="0" collapsed="false">
      <c r="A393" s="55" t="s">
        <v>2243</v>
      </c>
      <c r="B393" s="55" t="s">
        <v>16</v>
      </c>
      <c r="C393" s="55" t="s">
        <v>3576</v>
      </c>
      <c r="D393" s="55" t="s">
        <v>3577</v>
      </c>
      <c r="E393" s="55" t="s">
        <v>3560</v>
      </c>
      <c r="F393" s="55" t="s">
        <v>3578</v>
      </c>
      <c r="I393" s="55" t="s">
        <v>805</v>
      </c>
    </row>
    <row r="394" customFormat="false" ht="11.25" hidden="false" customHeight="true" outlineLevel="0" collapsed="false">
      <c r="A394" s="55" t="s">
        <v>2243</v>
      </c>
      <c r="B394" s="55" t="s">
        <v>16</v>
      </c>
      <c r="C394" s="55" t="s">
        <v>3579</v>
      </c>
      <c r="D394" s="55" t="s">
        <v>3580</v>
      </c>
      <c r="E394" s="55" t="s">
        <v>3560</v>
      </c>
      <c r="F394" s="55" t="s">
        <v>3581</v>
      </c>
      <c r="I394" s="55" t="s">
        <v>805</v>
      </c>
    </row>
    <row r="395" customFormat="false" ht="11.25" hidden="false" customHeight="true" outlineLevel="0" collapsed="false">
      <c r="A395" s="55" t="s">
        <v>2243</v>
      </c>
      <c r="B395" s="55" t="s">
        <v>16</v>
      </c>
      <c r="C395" s="55" t="s">
        <v>3582</v>
      </c>
      <c r="D395" s="55" t="s">
        <v>3583</v>
      </c>
      <c r="E395" s="55" t="s">
        <v>3560</v>
      </c>
      <c r="F395" s="55" t="s">
        <v>3584</v>
      </c>
      <c r="I395" s="55" t="s">
        <v>805</v>
      </c>
    </row>
    <row r="396" customFormat="false" ht="11.25" hidden="false" customHeight="true" outlineLevel="0" collapsed="false">
      <c r="A396" s="55" t="s">
        <v>2243</v>
      </c>
      <c r="B396" s="55" t="s">
        <v>16</v>
      </c>
      <c r="C396" s="55" t="s">
        <v>3585</v>
      </c>
      <c r="D396" s="55" t="s">
        <v>3586</v>
      </c>
      <c r="E396" s="55" t="s">
        <v>3560</v>
      </c>
      <c r="F396" s="55" t="s">
        <v>3587</v>
      </c>
      <c r="I396" s="55" t="s">
        <v>805</v>
      </c>
    </row>
    <row r="397" customFormat="false" ht="11.25" hidden="false" customHeight="true" outlineLevel="0" collapsed="false">
      <c r="A397" s="55" t="s">
        <v>2243</v>
      </c>
      <c r="B397" s="55" t="s">
        <v>16</v>
      </c>
      <c r="C397" s="55" t="s">
        <v>3588</v>
      </c>
      <c r="D397" s="55" t="s">
        <v>3589</v>
      </c>
      <c r="E397" s="55" t="s">
        <v>3560</v>
      </c>
      <c r="F397" s="55" t="s">
        <v>3590</v>
      </c>
      <c r="I397" s="55" t="s">
        <v>805</v>
      </c>
    </row>
    <row r="398" customFormat="false" ht="11.25" hidden="false" customHeight="true" outlineLevel="0" collapsed="false">
      <c r="A398" s="55" t="s">
        <v>2243</v>
      </c>
      <c r="B398" s="55" t="s">
        <v>16</v>
      </c>
      <c r="C398" s="55" t="s">
        <v>3591</v>
      </c>
      <c r="D398" s="55" t="s">
        <v>3592</v>
      </c>
      <c r="E398" s="55" t="s">
        <v>3593</v>
      </c>
      <c r="F398" s="55" t="s">
        <v>2653</v>
      </c>
      <c r="G398" s="55" t="s">
        <v>3594</v>
      </c>
      <c r="I398" s="55" t="s">
        <v>805</v>
      </c>
    </row>
    <row r="399" customFormat="false" ht="11.25" hidden="false" customHeight="true" outlineLevel="0" collapsed="false">
      <c r="A399" s="55" t="s">
        <v>2243</v>
      </c>
      <c r="B399" s="55" t="s">
        <v>16</v>
      </c>
      <c r="C399" s="55" t="s">
        <v>3595</v>
      </c>
      <c r="D399" s="55" t="s">
        <v>3596</v>
      </c>
      <c r="E399" s="55" t="s">
        <v>3593</v>
      </c>
      <c r="F399" s="55" t="s">
        <v>3597</v>
      </c>
      <c r="G399" s="55" t="s">
        <v>3594</v>
      </c>
      <c r="I399" s="55" t="s">
        <v>805</v>
      </c>
    </row>
    <row r="400" customFormat="false" ht="11.25" hidden="false" customHeight="true" outlineLevel="0" collapsed="false">
      <c r="A400" s="55" t="s">
        <v>2243</v>
      </c>
      <c r="B400" s="55" t="s">
        <v>16</v>
      </c>
      <c r="C400" s="55" t="s">
        <v>3598</v>
      </c>
      <c r="D400" s="55" t="s">
        <v>3599</v>
      </c>
      <c r="E400" s="55" t="s">
        <v>3600</v>
      </c>
      <c r="F400" s="55" t="s">
        <v>2959</v>
      </c>
      <c r="I400" s="55" t="s">
        <v>805</v>
      </c>
    </row>
    <row r="401" customFormat="false" ht="11.25" hidden="false" customHeight="true" outlineLevel="0" collapsed="false">
      <c r="A401" s="55" t="s">
        <v>2243</v>
      </c>
      <c r="B401" s="55" t="s">
        <v>16</v>
      </c>
      <c r="C401" s="55" t="s">
        <v>3601</v>
      </c>
      <c r="D401" s="55" t="s">
        <v>3602</v>
      </c>
      <c r="E401" s="55" t="s">
        <v>3603</v>
      </c>
      <c r="F401" s="55" t="s">
        <v>2318</v>
      </c>
      <c r="I401" s="55" t="s">
        <v>805</v>
      </c>
    </row>
    <row r="402" customFormat="false" ht="11.25" hidden="false" customHeight="true" outlineLevel="0" collapsed="false">
      <c r="A402" s="55" t="s">
        <v>2243</v>
      </c>
      <c r="B402" s="55" t="s">
        <v>16</v>
      </c>
      <c r="C402" s="55" t="s">
        <v>3604</v>
      </c>
      <c r="D402" s="55" t="s">
        <v>3605</v>
      </c>
      <c r="E402" s="55" t="s">
        <v>3606</v>
      </c>
      <c r="F402" s="55" t="s">
        <v>2470</v>
      </c>
      <c r="I402" s="55" t="s">
        <v>805</v>
      </c>
    </row>
    <row r="403" customFormat="false" ht="11.25" hidden="false" customHeight="true" outlineLevel="0" collapsed="false">
      <c r="A403" s="55" t="s">
        <v>2243</v>
      </c>
      <c r="B403" s="55" t="s">
        <v>16</v>
      </c>
      <c r="C403" s="55" t="s">
        <v>3607</v>
      </c>
      <c r="D403" s="55" t="s">
        <v>3608</v>
      </c>
      <c r="E403" s="55" t="s">
        <v>3609</v>
      </c>
      <c r="F403" s="55" t="s">
        <v>3610</v>
      </c>
      <c r="I403" s="55" t="s">
        <v>805</v>
      </c>
    </row>
    <row r="404" customFormat="false" ht="11.25" hidden="false" customHeight="true" outlineLevel="0" collapsed="false">
      <c r="A404" s="55" t="s">
        <v>2243</v>
      </c>
      <c r="B404" s="55" t="s">
        <v>16</v>
      </c>
      <c r="C404" s="55" t="s">
        <v>3611</v>
      </c>
      <c r="D404" s="55" t="s">
        <v>3612</v>
      </c>
      <c r="E404" s="55" t="s">
        <v>3613</v>
      </c>
      <c r="F404" s="55" t="s">
        <v>3614</v>
      </c>
      <c r="I404" s="55" t="s">
        <v>805</v>
      </c>
    </row>
    <row r="405" customFormat="false" ht="11.25" hidden="false" customHeight="true" outlineLevel="0" collapsed="false">
      <c r="A405" s="55" t="s">
        <v>2243</v>
      </c>
      <c r="B405" s="55" t="s">
        <v>16</v>
      </c>
      <c r="C405" s="55" t="s">
        <v>3615</v>
      </c>
      <c r="D405" s="55" t="s">
        <v>3616</v>
      </c>
      <c r="E405" s="55" t="s">
        <v>3617</v>
      </c>
      <c r="F405" s="55" t="s">
        <v>2371</v>
      </c>
      <c r="G405" s="55" t="s">
        <v>3618</v>
      </c>
      <c r="I405" s="55" t="s">
        <v>805</v>
      </c>
    </row>
    <row r="406" customFormat="false" ht="11.25" hidden="false" customHeight="true" outlineLevel="0" collapsed="false">
      <c r="A406" s="55" t="s">
        <v>2243</v>
      </c>
      <c r="B406" s="55" t="s">
        <v>16</v>
      </c>
      <c r="C406" s="55" t="s">
        <v>3619</v>
      </c>
      <c r="D406" s="55" t="s">
        <v>3620</v>
      </c>
      <c r="E406" s="55" t="s">
        <v>3621</v>
      </c>
      <c r="F406" s="55" t="s">
        <v>2309</v>
      </c>
      <c r="I406" s="55" t="s">
        <v>805</v>
      </c>
    </row>
    <row r="407" customFormat="false" ht="11.25" hidden="false" customHeight="true" outlineLevel="0" collapsed="false">
      <c r="A407" s="55" t="s">
        <v>2243</v>
      </c>
      <c r="B407" s="55" t="s">
        <v>16</v>
      </c>
      <c r="C407" s="55" t="s">
        <v>3622</v>
      </c>
      <c r="D407" s="55" t="s">
        <v>3623</v>
      </c>
      <c r="E407" s="55" t="s">
        <v>3624</v>
      </c>
      <c r="F407" s="55" t="s">
        <v>3625</v>
      </c>
      <c r="I407" s="55" t="s">
        <v>805</v>
      </c>
    </row>
    <row r="408" customFormat="false" ht="11.25" hidden="false" customHeight="true" outlineLevel="0" collapsed="false">
      <c r="A408" s="55" t="s">
        <v>2243</v>
      </c>
      <c r="B408" s="55" t="s">
        <v>16</v>
      </c>
      <c r="C408" s="55" t="s">
        <v>3626</v>
      </c>
      <c r="D408" s="55" t="s">
        <v>3627</v>
      </c>
      <c r="E408" s="55" t="s">
        <v>3628</v>
      </c>
      <c r="F408" s="55" t="s">
        <v>2247</v>
      </c>
      <c r="G408" s="55" t="s">
        <v>2717</v>
      </c>
      <c r="I408" s="55" t="s">
        <v>805</v>
      </c>
    </row>
    <row r="409" customFormat="false" ht="11.25" hidden="false" customHeight="true" outlineLevel="0" collapsed="false">
      <c r="A409" s="55" t="s">
        <v>2243</v>
      </c>
      <c r="B409" s="55" t="s">
        <v>16</v>
      </c>
      <c r="C409" s="55" t="s">
        <v>3629</v>
      </c>
      <c r="D409" s="55" t="s">
        <v>3630</v>
      </c>
      <c r="E409" s="55" t="s">
        <v>3631</v>
      </c>
      <c r="F409" s="55" t="s">
        <v>2347</v>
      </c>
      <c r="I409" s="55" t="s">
        <v>805</v>
      </c>
    </row>
    <row r="410" customFormat="false" ht="11.25" hidden="false" customHeight="true" outlineLevel="0" collapsed="false">
      <c r="A410" s="55" t="s">
        <v>2243</v>
      </c>
      <c r="B410" s="55" t="s">
        <v>16</v>
      </c>
      <c r="C410" s="55" t="s">
        <v>3632</v>
      </c>
      <c r="D410" s="55" t="s">
        <v>3633</v>
      </c>
      <c r="E410" s="55" t="s">
        <v>3634</v>
      </c>
      <c r="F410" s="55" t="s">
        <v>2314</v>
      </c>
      <c r="G410" s="55" t="s">
        <v>3053</v>
      </c>
      <c r="I410" s="55" t="s">
        <v>805</v>
      </c>
    </row>
    <row r="411" customFormat="false" ht="11.25" hidden="false" customHeight="true" outlineLevel="0" collapsed="false">
      <c r="A411" s="55" t="s">
        <v>2243</v>
      </c>
      <c r="B411" s="55" t="s">
        <v>16</v>
      </c>
      <c r="C411" s="55" t="s">
        <v>3635</v>
      </c>
      <c r="D411" s="55" t="s">
        <v>3636</v>
      </c>
      <c r="E411" s="55" t="s">
        <v>3637</v>
      </c>
      <c r="F411" s="55" t="s">
        <v>2247</v>
      </c>
      <c r="G411" s="55" t="s">
        <v>3638</v>
      </c>
      <c r="I411" s="55" t="s">
        <v>805</v>
      </c>
    </row>
    <row r="412" customFormat="false" ht="11.25" hidden="false" customHeight="true" outlineLevel="0" collapsed="false">
      <c r="A412" s="55" t="s">
        <v>2243</v>
      </c>
      <c r="B412" s="55" t="s">
        <v>16</v>
      </c>
      <c r="C412" s="55" t="s">
        <v>3639</v>
      </c>
      <c r="D412" s="55" t="s">
        <v>3640</v>
      </c>
      <c r="E412" s="55" t="s">
        <v>3641</v>
      </c>
      <c r="F412" s="55" t="s">
        <v>3642</v>
      </c>
      <c r="I412" s="55" t="s">
        <v>805</v>
      </c>
    </row>
    <row r="413" customFormat="false" ht="11.25" hidden="false" customHeight="true" outlineLevel="0" collapsed="false">
      <c r="A413" s="55" t="s">
        <v>2243</v>
      </c>
      <c r="B413" s="55" t="s">
        <v>16</v>
      </c>
      <c r="C413" s="55" t="s">
        <v>3643</v>
      </c>
      <c r="D413" s="55" t="s">
        <v>3644</v>
      </c>
      <c r="E413" s="55" t="s">
        <v>3645</v>
      </c>
      <c r="F413" s="55" t="s">
        <v>2318</v>
      </c>
      <c r="G413" s="55" t="s">
        <v>3646</v>
      </c>
      <c r="I413" s="55" t="s">
        <v>805</v>
      </c>
    </row>
    <row r="414" customFormat="false" ht="11.25" hidden="false" customHeight="true" outlineLevel="0" collapsed="false">
      <c r="A414" s="55" t="s">
        <v>2243</v>
      </c>
      <c r="B414" s="55" t="s">
        <v>16</v>
      </c>
      <c r="C414" s="55" t="s">
        <v>3647</v>
      </c>
      <c r="D414" s="55" t="s">
        <v>3648</v>
      </c>
      <c r="E414" s="55" t="s">
        <v>3649</v>
      </c>
      <c r="F414" s="55" t="s">
        <v>2247</v>
      </c>
      <c r="I414" s="55" t="s">
        <v>805</v>
      </c>
    </row>
    <row r="415" customFormat="false" ht="11.25" hidden="false" customHeight="true" outlineLevel="0" collapsed="false">
      <c r="A415" s="55" t="s">
        <v>2243</v>
      </c>
      <c r="B415" s="55" t="s">
        <v>16</v>
      </c>
      <c r="C415" s="55" t="s">
        <v>3650</v>
      </c>
      <c r="D415" s="55" t="s">
        <v>3651</v>
      </c>
      <c r="E415" s="55" t="s">
        <v>3652</v>
      </c>
      <c r="F415" s="55" t="s">
        <v>2318</v>
      </c>
      <c r="G415" s="55" t="s">
        <v>3653</v>
      </c>
      <c r="I415" s="55" t="s">
        <v>805</v>
      </c>
    </row>
    <row r="416" customFormat="false" ht="11.25" hidden="false" customHeight="true" outlineLevel="0" collapsed="false">
      <c r="A416" s="55" t="s">
        <v>2243</v>
      </c>
      <c r="B416" s="55" t="s">
        <v>16</v>
      </c>
      <c r="C416" s="55" t="s">
        <v>3654</v>
      </c>
      <c r="D416" s="55" t="s">
        <v>3655</v>
      </c>
      <c r="E416" s="55" t="s">
        <v>3656</v>
      </c>
      <c r="F416" s="55" t="s">
        <v>3657</v>
      </c>
      <c r="I416" s="55" t="s">
        <v>805</v>
      </c>
    </row>
    <row r="417" customFormat="false" ht="11.25" hidden="false" customHeight="true" outlineLevel="0" collapsed="false">
      <c r="A417" s="55" t="s">
        <v>2243</v>
      </c>
      <c r="B417" s="55" t="s">
        <v>16</v>
      </c>
      <c r="C417" s="55" t="s">
        <v>3658</v>
      </c>
      <c r="D417" s="55" t="s">
        <v>3659</v>
      </c>
      <c r="E417" s="55" t="s">
        <v>3660</v>
      </c>
      <c r="F417" s="55" t="s">
        <v>2371</v>
      </c>
      <c r="I417" s="55" t="s">
        <v>805</v>
      </c>
    </row>
    <row r="418" customFormat="false" ht="11.25" hidden="false" customHeight="true" outlineLevel="0" collapsed="false">
      <c r="A418" s="55" t="s">
        <v>2243</v>
      </c>
      <c r="B418" s="55" t="s">
        <v>16</v>
      </c>
      <c r="C418" s="55" t="s">
        <v>3661</v>
      </c>
      <c r="D418" s="55" t="s">
        <v>3662</v>
      </c>
      <c r="E418" s="55" t="s">
        <v>3663</v>
      </c>
      <c r="F418" s="55" t="s">
        <v>2247</v>
      </c>
      <c r="I418" s="55" t="s">
        <v>805</v>
      </c>
    </row>
    <row r="419" customFormat="false" ht="11.25" hidden="false" customHeight="true" outlineLevel="0" collapsed="false">
      <c r="A419" s="55" t="s">
        <v>2243</v>
      </c>
      <c r="B419" s="55" t="s">
        <v>16</v>
      </c>
      <c r="C419" s="55" t="s">
        <v>3664</v>
      </c>
      <c r="D419" s="55" t="s">
        <v>3665</v>
      </c>
      <c r="E419" s="55" t="s">
        <v>3666</v>
      </c>
      <c r="F419" s="55" t="s">
        <v>2314</v>
      </c>
      <c r="I419" s="55" t="s">
        <v>805</v>
      </c>
    </row>
    <row r="420" customFormat="false" ht="11.25" hidden="false" customHeight="true" outlineLevel="0" collapsed="false">
      <c r="A420" s="55" t="s">
        <v>2243</v>
      </c>
      <c r="B420" s="55" t="s">
        <v>16</v>
      </c>
      <c r="C420" s="55" t="s">
        <v>3667</v>
      </c>
      <c r="D420" s="55" t="s">
        <v>3668</v>
      </c>
      <c r="E420" s="55" t="s">
        <v>3669</v>
      </c>
      <c r="F420" s="55" t="s">
        <v>2544</v>
      </c>
      <c r="G420" s="55" t="s">
        <v>3670</v>
      </c>
      <c r="I420" s="55" t="s">
        <v>805</v>
      </c>
    </row>
    <row r="421" customFormat="false" ht="11.25" hidden="false" customHeight="true" outlineLevel="0" collapsed="false">
      <c r="A421" s="55" t="s">
        <v>2243</v>
      </c>
      <c r="B421" s="55" t="s">
        <v>16</v>
      </c>
      <c r="C421" s="55" t="s">
        <v>3671</v>
      </c>
      <c r="D421" s="55" t="s">
        <v>3672</v>
      </c>
      <c r="E421" s="55" t="s">
        <v>3673</v>
      </c>
      <c r="F421" s="55" t="s">
        <v>2672</v>
      </c>
      <c r="I421" s="55" t="s">
        <v>805</v>
      </c>
    </row>
    <row r="422" customFormat="false" ht="11.25" hidden="false" customHeight="true" outlineLevel="0" collapsed="false">
      <c r="A422" s="55" t="s">
        <v>2243</v>
      </c>
      <c r="B422" s="55" t="s">
        <v>16</v>
      </c>
      <c r="C422" s="55" t="s">
        <v>3674</v>
      </c>
      <c r="D422" s="55" t="s">
        <v>3675</v>
      </c>
      <c r="E422" s="55" t="s">
        <v>3676</v>
      </c>
      <c r="F422" s="55" t="s">
        <v>2470</v>
      </c>
      <c r="I422" s="55" t="s">
        <v>805</v>
      </c>
    </row>
    <row r="423" customFormat="false" ht="11.25" hidden="false" customHeight="true" outlineLevel="0" collapsed="false">
      <c r="A423" s="55" t="s">
        <v>2243</v>
      </c>
      <c r="B423" s="55" t="s">
        <v>16</v>
      </c>
      <c r="C423" s="55" t="s">
        <v>3677</v>
      </c>
      <c r="D423" s="55" t="s">
        <v>3678</v>
      </c>
      <c r="E423" s="55" t="s">
        <v>3679</v>
      </c>
      <c r="F423" s="55" t="s">
        <v>2470</v>
      </c>
      <c r="I423" s="55" t="s">
        <v>805</v>
      </c>
    </row>
    <row r="424" customFormat="false" ht="11.25" hidden="false" customHeight="true" outlineLevel="0" collapsed="false">
      <c r="A424" s="55" t="s">
        <v>2243</v>
      </c>
      <c r="B424" s="55" t="s">
        <v>16</v>
      </c>
      <c r="C424" s="55" t="s">
        <v>3680</v>
      </c>
      <c r="D424" s="55" t="s">
        <v>3681</v>
      </c>
      <c r="E424" s="55" t="s">
        <v>3682</v>
      </c>
      <c r="F424" s="55" t="s">
        <v>2314</v>
      </c>
      <c r="I424" s="55" t="s">
        <v>805</v>
      </c>
    </row>
    <row r="425" customFormat="false" ht="11.25" hidden="false" customHeight="true" outlineLevel="0" collapsed="false">
      <c r="A425" s="55" t="s">
        <v>2243</v>
      </c>
      <c r="B425" s="55" t="s">
        <v>16</v>
      </c>
      <c r="C425" s="55" t="s">
        <v>3683</v>
      </c>
      <c r="D425" s="55" t="s">
        <v>3684</v>
      </c>
      <c r="E425" s="55" t="s">
        <v>3685</v>
      </c>
      <c r="F425" s="55" t="s">
        <v>2371</v>
      </c>
      <c r="I425" s="55" t="s">
        <v>805</v>
      </c>
    </row>
    <row r="426" customFormat="false" ht="11.25" hidden="false" customHeight="true" outlineLevel="0" collapsed="false">
      <c r="A426" s="55" t="s">
        <v>2243</v>
      </c>
      <c r="B426" s="55" t="s">
        <v>16</v>
      </c>
      <c r="C426" s="55" t="s">
        <v>3686</v>
      </c>
      <c r="D426" s="55" t="s">
        <v>3687</v>
      </c>
      <c r="E426" s="55" t="s">
        <v>3688</v>
      </c>
      <c r="F426" s="55" t="s">
        <v>3689</v>
      </c>
      <c r="I426" s="55" t="s">
        <v>805</v>
      </c>
    </row>
    <row r="427" customFormat="false" ht="11.25" hidden="false" customHeight="true" outlineLevel="0" collapsed="false">
      <c r="A427" s="55" t="s">
        <v>2243</v>
      </c>
      <c r="B427" s="55" t="s">
        <v>16</v>
      </c>
      <c r="C427" s="55" t="s">
        <v>3690</v>
      </c>
      <c r="D427" s="55" t="s">
        <v>3691</v>
      </c>
      <c r="E427" s="55" t="s">
        <v>3692</v>
      </c>
      <c r="F427" s="55" t="s">
        <v>2371</v>
      </c>
      <c r="G427" s="55" t="s">
        <v>3693</v>
      </c>
      <c r="I427" s="55" t="s">
        <v>805</v>
      </c>
    </row>
    <row r="428" customFormat="false" ht="11.25" hidden="false" customHeight="true" outlineLevel="0" collapsed="false">
      <c r="A428" s="55" t="s">
        <v>2243</v>
      </c>
      <c r="B428" s="55" t="s">
        <v>16</v>
      </c>
      <c r="C428" s="55" t="s">
        <v>3694</v>
      </c>
      <c r="D428" s="55" t="s">
        <v>3695</v>
      </c>
      <c r="E428" s="55" t="s">
        <v>3696</v>
      </c>
      <c r="F428" s="55" t="s">
        <v>2314</v>
      </c>
      <c r="G428" s="55" t="s">
        <v>3697</v>
      </c>
      <c r="I428" s="55" t="s">
        <v>805</v>
      </c>
    </row>
    <row r="429" customFormat="false" ht="11.25" hidden="false" customHeight="true" outlineLevel="0" collapsed="false">
      <c r="A429" s="55" t="s">
        <v>2243</v>
      </c>
      <c r="B429" s="55" t="s">
        <v>16</v>
      </c>
      <c r="C429" s="55" t="s">
        <v>3698</v>
      </c>
      <c r="D429" s="55" t="s">
        <v>3699</v>
      </c>
      <c r="E429" s="55" t="s">
        <v>3700</v>
      </c>
      <c r="F429" s="55" t="s">
        <v>2347</v>
      </c>
      <c r="G429" s="55" t="s">
        <v>3701</v>
      </c>
      <c r="I429" s="55" t="s">
        <v>805</v>
      </c>
    </row>
    <row r="430" customFormat="false" ht="11.25" hidden="false" customHeight="true" outlineLevel="0" collapsed="false">
      <c r="A430" s="55" t="s">
        <v>2243</v>
      </c>
      <c r="B430" s="55" t="s">
        <v>16</v>
      </c>
      <c r="C430" s="55" t="s">
        <v>3702</v>
      </c>
      <c r="D430" s="55" t="s">
        <v>3703</v>
      </c>
      <c r="E430" s="55" t="s">
        <v>3704</v>
      </c>
      <c r="F430" s="55" t="s">
        <v>2329</v>
      </c>
      <c r="I430" s="55" t="s">
        <v>805</v>
      </c>
    </row>
    <row r="431" customFormat="false" ht="11.25" hidden="false" customHeight="true" outlineLevel="0" collapsed="false">
      <c r="A431" s="55" t="s">
        <v>2243</v>
      </c>
      <c r="B431" s="55" t="s">
        <v>16</v>
      </c>
      <c r="C431" s="55" t="s">
        <v>3705</v>
      </c>
      <c r="D431" s="55" t="s">
        <v>3706</v>
      </c>
      <c r="E431" s="55" t="s">
        <v>3707</v>
      </c>
      <c r="F431" s="55" t="s">
        <v>3708</v>
      </c>
      <c r="I431" s="55" t="s">
        <v>805</v>
      </c>
    </row>
    <row r="432" customFormat="false" ht="11.25" hidden="false" customHeight="true" outlineLevel="0" collapsed="false">
      <c r="A432" s="55" t="s">
        <v>2243</v>
      </c>
      <c r="B432" s="55" t="s">
        <v>16</v>
      </c>
      <c r="C432" s="55" t="s">
        <v>3709</v>
      </c>
      <c r="D432" s="55" t="s">
        <v>3710</v>
      </c>
      <c r="E432" s="55" t="s">
        <v>3711</v>
      </c>
      <c r="F432" s="55" t="s">
        <v>2566</v>
      </c>
      <c r="G432" s="55" t="s">
        <v>3712</v>
      </c>
      <c r="I432" s="55" t="s">
        <v>805</v>
      </c>
    </row>
    <row r="433" customFormat="false" ht="11.25" hidden="false" customHeight="true" outlineLevel="0" collapsed="false">
      <c r="A433" s="55" t="s">
        <v>2243</v>
      </c>
      <c r="B433" s="55" t="s">
        <v>16</v>
      </c>
      <c r="C433" s="55" t="s">
        <v>3713</v>
      </c>
      <c r="D433" s="55" t="s">
        <v>3714</v>
      </c>
      <c r="E433" s="55" t="s">
        <v>3715</v>
      </c>
      <c r="F433" s="55" t="s">
        <v>2329</v>
      </c>
      <c r="I433" s="55" t="s">
        <v>805</v>
      </c>
    </row>
    <row r="434" customFormat="false" ht="11.25" hidden="false" customHeight="true" outlineLevel="0" collapsed="false">
      <c r="A434" s="55" t="s">
        <v>2243</v>
      </c>
      <c r="B434" s="55" t="s">
        <v>16</v>
      </c>
      <c r="C434" s="55" t="s">
        <v>3716</v>
      </c>
      <c r="D434" s="55" t="s">
        <v>3717</v>
      </c>
      <c r="E434" s="55" t="s">
        <v>3718</v>
      </c>
      <c r="F434" s="55" t="s">
        <v>2566</v>
      </c>
      <c r="I434" s="55" t="s">
        <v>805</v>
      </c>
    </row>
    <row r="435" customFormat="false" ht="11.25" hidden="false" customHeight="true" outlineLevel="0" collapsed="false">
      <c r="A435" s="55" t="s">
        <v>2243</v>
      </c>
      <c r="B435" s="55" t="s">
        <v>16</v>
      </c>
      <c r="C435" s="55" t="s">
        <v>3719</v>
      </c>
      <c r="D435" s="55" t="s">
        <v>3720</v>
      </c>
      <c r="E435" s="55" t="s">
        <v>3721</v>
      </c>
      <c r="F435" s="55" t="s">
        <v>2470</v>
      </c>
      <c r="I435" s="55" t="s">
        <v>805</v>
      </c>
    </row>
    <row r="436" customFormat="false" ht="11.25" hidden="false" customHeight="true" outlineLevel="0" collapsed="false">
      <c r="A436" s="55" t="s">
        <v>2243</v>
      </c>
      <c r="B436" s="55" t="s">
        <v>16</v>
      </c>
      <c r="C436" s="55" t="s">
        <v>3722</v>
      </c>
      <c r="D436" s="55" t="s">
        <v>3723</v>
      </c>
      <c r="E436" s="55" t="s">
        <v>3724</v>
      </c>
      <c r="F436" s="55" t="s">
        <v>2314</v>
      </c>
      <c r="I436" s="55" t="s">
        <v>805</v>
      </c>
    </row>
    <row r="437" customFormat="false" ht="11.25" hidden="false" customHeight="true" outlineLevel="0" collapsed="false">
      <c r="A437" s="55" t="s">
        <v>2243</v>
      </c>
      <c r="B437" s="55" t="s">
        <v>16</v>
      </c>
      <c r="C437" s="55" t="s">
        <v>3725</v>
      </c>
      <c r="D437" s="55" t="s">
        <v>3726</v>
      </c>
      <c r="E437" s="55" t="s">
        <v>3727</v>
      </c>
      <c r="F437" s="55" t="s">
        <v>3728</v>
      </c>
      <c r="I437" s="55" t="s">
        <v>805</v>
      </c>
    </row>
    <row r="438" customFormat="false" ht="11.25" hidden="false" customHeight="true" outlineLevel="0" collapsed="false">
      <c r="A438" s="55" t="s">
        <v>2243</v>
      </c>
      <c r="B438" s="55" t="s">
        <v>16</v>
      </c>
      <c r="C438" s="55" t="s">
        <v>3729</v>
      </c>
      <c r="D438" s="55" t="s">
        <v>3730</v>
      </c>
      <c r="E438" s="55" t="s">
        <v>3731</v>
      </c>
      <c r="F438" s="55" t="s">
        <v>2314</v>
      </c>
      <c r="I438" s="55" t="s">
        <v>805</v>
      </c>
    </row>
    <row r="439" customFormat="false" ht="11.25" hidden="false" customHeight="true" outlineLevel="0" collapsed="false">
      <c r="A439" s="55" t="s">
        <v>2243</v>
      </c>
      <c r="B439" s="55" t="s">
        <v>16</v>
      </c>
      <c r="C439" s="55" t="s">
        <v>3732</v>
      </c>
      <c r="D439" s="55" t="s">
        <v>3733</v>
      </c>
      <c r="E439" s="55" t="s">
        <v>3734</v>
      </c>
      <c r="F439" s="55" t="s">
        <v>3735</v>
      </c>
      <c r="I439" s="55" t="s">
        <v>805</v>
      </c>
    </row>
    <row r="440" customFormat="false" ht="11.25" hidden="false" customHeight="true" outlineLevel="0" collapsed="false">
      <c r="A440" s="55" t="s">
        <v>2243</v>
      </c>
      <c r="B440" s="55" t="s">
        <v>16</v>
      </c>
      <c r="C440" s="55" t="s">
        <v>3736</v>
      </c>
      <c r="D440" s="55" t="s">
        <v>3737</v>
      </c>
      <c r="E440" s="55" t="s">
        <v>3738</v>
      </c>
      <c r="F440" s="55" t="s">
        <v>2318</v>
      </c>
      <c r="I440" s="55" t="s">
        <v>805</v>
      </c>
    </row>
    <row r="441" customFormat="false" ht="11.25" hidden="false" customHeight="true" outlineLevel="0" collapsed="false">
      <c r="A441" s="55" t="s">
        <v>2243</v>
      </c>
      <c r="B441" s="55" t="s">
        <v>16</v>
      </c>
      <c r="C441" s="55" t="s">
        <v>3739</v>
      </c>
      <c r="D441" s="55" t="s">
        <v>3740</v>
      </c>
      <c r="E441" s="55" t="s">
        <v>3741</v>
      </c>
      <c r="F441" s="55" t="s">
        <v>2283</v>
      </c>
      <c r="I441" s="55" t="s">
        <v>805</v>
      </c>
    </row>
    <row r="442" customFormat="false" ht="11.25" hidden="false" customHeight="true" outlineLevel="0" collapsed="false">
      <c r="A442" s="55" t="s">
        <v>2243</v>
      </c>
      <c r="B442" s="55" t="s">
        <v>16</v>
      </c>
      <c r="C442" s="55" t="s">
        <v>3742</v>
      </c>
      <c r="D442" s="55" t="s">
        <v>3743</v>
      </c>
      <c r="E442" s="55" t="s">
        <v>3744</v>
      </c>
      <c r="F442" s="55" t="s">
        <v>2283</v>
      </c>
      <c r="G442" s="55" t="s">
        <v>3745</v>
      </c>
      <c r="I442" s="55" t="s">
        <v>805</v>
      </c>
    </row>
    <row r="443" customFormat="false" ht="11.25" hidden="false" customHeight="true" outlineLevel="0" collapsed="false">
      <c r="A443" s="55" t="s">
        <v>2243</v>
      </c>
      <c r="B443" s="55" t="s">
        <v>16</v>
      </c>
      <c r="C443" s="55" t="s">
        <v>3746</v>
      </c>
      <c r="D443" s="55" t="s">
        <v>3747</v>
      </c>
      <c r="E443" s="55" t="s">
        <v>3748</v>
      </c>
      <c r="F443" s="55" t="s">
        <v>2544</v>
      </c>
      <c r="I443" s="55" t="s">
        <v>805</v>
      </c>
    </row>
    <row r="444" customFormat="false" ht="11.25" hidden="false" customHeight="true" outlineLevel="0" collapsed="false">
      <c r="A444" s="55" t="s">
        <v>2243</v>
      </c>
      <c r="B444" s="55" t="s">
        <v>16</v>
      </c>
      <c r="C444" s="55" t="s">
        <v>3749</v>
      </c>
      <c r="D444" s="55" t="s">
        <v>3750</v>
      </c>
      <c r="E444" s="55" t="s">
        <v>3751</v>
      </c>
      <c r="F444" s="55" t="s">
        <v>2318</v>
      </c>
      <c r="I444" s="55" t="s">
        <v>805</v>
      </c>
    </row>
    <row r="445" customFormat="false" ht="11.25" hidden="false" customHeight="true" outlineLevel="0" collapsed="false">
      <c r="A445" s="55" t="s">
        <v>2243</v>
      </c>
      <c r="B445" s="55" t="s">
        <v>16</v>
      </c>
      <c r="C445" s="55" t="s">
        <v>3752</v>
      </c>
      <c r="D445" s="55" t="s">
        <v>3753</v>
      </c>
      <c r="E445" s="55" t="s">
        <v>3754</v>
      </c>
      <c r="F445" s="55" t="s">
        <v>2318</v>
      </c>
      <c r="G445" s="55" t="s">
        <v>3755</v>
      </c>
      <c r="I445" s="55" t="s">
        <v>805</v>
      </c>
    </row>
    <row r="446" customFormat="false" ht="11.25" hidden="false" customHeight="true" outlineLevel="0" collapsed="false">
      <c r="A446" s="55" t="s">
        <v>2243</v>
      </c>
      <c r="B446" s="55" t="s">
        <v>16</v>
      </c>
      <c r="C446" s="55" t="s">
        <v>3756</v>
      </c>
      <c r="D446" s="55" t="s">
        <v>3757</v>
      </c>
      <c r="E446" s="55" t="s">
        <v>3758</v>
      </c>
      <c r="F446" s="55" t="s">
        <v>2318</v>
      </c>
      <c r="I446" s="55" t="s">
        <v>805</v>
      </c>
    </row>
    <row r="447" customFormat="false" ht="11.25" hidden="false" customHeight="true" outlineLevel="0" collapsed="false">
      <c r="A447" s="55" t="s">
        <v>2243</v>
      </c>
      <c r="B447" s="55" t="s">
        <v>16</v>
      </c>
      <c r="C447" s="55" t="s">
        <v>3759</v>
      </c>
      <c r="D447" s="55" t="s">
        <v>3760</v>
      </c>
      <c r="E447" s="55" t="s">
        <v>3761</v>
      </c>
      <c r="F447" s="55" t="s">
        <v>2309</v>
      </c>
      <c r="I447" s="55" t="s">
        <v>805</v>
      </c>
    </row>
    <row r="448" customFormat="false" ht="11.25" hidden="false" customHeight="true" outlineLevel="0" collapsed="false">
      <c r="A448" s="55" t="s">
        <v>2243</v>
      </c>
      <c r="B448" s="55" t="s">
        <v>16</v>
      </c>
      <c r="C448" s="55" t="s">
        <v>3762</v>
      </c>
      <c r="D448" s="55" t="s">
        <v>3763</v>
      </c>
      <c r="E448" s="55" t="s">
        <v>3764</v>
      </c>
      <c r="F448" s="55" t="s">
        <v>2329</v>
      </c>
      <c r="I448" s="55" t="s">
        <v>805</v>
      </c>
    </row>
    <row r="449" customFormat="false" ht="11.25" hidden="false" customHeight="true" outlineLevel="0" collapsed="false">
      <c r="A449" s="55" t="s">
        <v>2243</v>
      </c>
      <c r="B449" s="55" t="s">
        <v>16</v>
      </c>
      <c r="C449" s="55" t="s">
        <v>3765</v>
      </c>
      <c r="D449" s="55" t="s">
        <v>3766</v>
      </c>
      <c r="E449" s="55" t="s">
        <v>3767</v>
      </c>
      <c r="F449" s="55" t="s">
        <v>2757</v>
      </c>
      <c r="G449" s="55" t="s">
        <v>3768</v>
      </c>
      <c r="I449" s="55" t="s">
        <v>805</v>
      </c>
    </row>
    <row r="450" customFormat="false" ht="11.25" hidden="false" customHeight="true" outlineLevel="0" collapsed="false">
      <c r="A450" s="55" t="s">
        <v>2243</v>
      </c>
      <c r="B450" s="55" t="s">
        <v>16</v>
      </c>
      <c r="C450" s="55" t="s">
        <v>3769</v>
      </c>
      <c r="D450" s="55" t="s">
        <v>3770</v>
      </c>
      <c r="E450" s="55" t="s">
        <v>3771</v>
      </c>
      <c r="F450" s="55" t="s">
        <v>2371</v>
      </c>
      <c r="I450" s="55" t="s">
        <v>805</v>
      </c>
    </row>
    <row r="451" customFormat="false" ht="11.25" hidden="false" customHeight="true" outlineLevel="0" collapsed="false">
      <c r="A451" s="55" t="s">
        <v>2243</v>
      </c>
      <c r="B451" s="55" t="s">
        <v>16</v>
      </c>
      <c r="C451" s="55" t="s">
        <v>3772</v>
      </c>
      <c r="D451" s="55" t="s">
        <v>3773</v>
      </c>
      <c r="E451" s="55" t="s">
        <v>3774</v>
      </c>
      <c r="F451" s="55" t="s">
        <v>2342</v>
      </c>
      <c r="G451" s="55" t="s">
        <v>2944</v>
      </c>
      <c r="H451" s="55" t="s">
        <v>3775</v>
      </c>
      <c r="I451" s="55" t="s">
        <v>805</v>
      </c>
    </row>
    <row r="452" customFormat="false" ht="11.25" hidden="false" customHeight="true" outlineLevel="0" collapsed="false">
      <c r="A452" s="55" t="s">
        <v>2243</v>
      </c>
      <c r="B452" s="55" t="s">
        <v>16</v>
      </c>
      <c r="C452" s="55" t="s">
        <v>3776</v>
      </c>
      <c r="D452" s="55" t="s">
        <v>3777</v>
      </c>
      <c r="E452" s="55" t="s">
        <v>3778</v>
      </c>
      <c r="F452" s="55" t="s">
        <v>3130</v>
      </c>
      <c r="G452" s="55" t="s">
        <v>3779</v>
      </c>
      <c r="I452" s="55" t="s">
        <v>805</v>
      </c>
    </row>
    <row r="453" customFormat="false" ht="11.25" hidden="false" customHeight="true" outlineLevel="0" collapsed="false">
      <c r="A453" s="55" t="s">
        <v>2243</v>
      </c>
      <c r="B453" s="55" t="s">
        <v>16</v>
      </c>
      <c r="C453" s="55" t="s">
        <v>3780</v>
      </c>
      <c r="D453" s="55" t="s">
        <v>3781</v>
      </c>
      <c r="E453" s="55" t="s">
        <v>3782</v>
      </c>
      <c r="F453" s="55" t="s">
        <v>2558</v>
      </c>
      <c r="G453" s="55" t="s">
        <v>3783</v>
      </c>
      <c r="I453" s="55" t="s">
        <v>805</v>
      </c>
    </row>
    <row r="454" customFormat="false" ht="11.25" hidden="false" customHeight="true" outlineLevel="0" collapsed="false">
      <c r="A454" s="55" t="s">
        <v>2243</v>
      </c>
      <c r="B454" s="55" t="s">
        <v>16</v>
      </c>
      <c r="C454" s="55" t="s">
        <v>3784</v>
      </c>
      <c r="D454" s="55" t="s">
        <v>3785</v>
      </c>
      <c r="E454" s="55" t="s">
        <v>3786</v>
      </c>
      <c r="F454" s="55" t="s">
        <v>2314</v>
      </c>
      <c r="G454" s="55" t="s">
        <v>3787</v>
      </c>
      <c r="I454" s="55" t="s">
        <v>805</v>
      </c>
    </row>
    <row r="455" customFormat="false" ht="11.25" hidden="false" customHeight="true" outlineLevel="0" collapsed="false">
      <c r="A455" s="55" t="s">
        <v>2243</v>
      </c>
      <c r="B455" s="55" t="s">
        <v>16</v>
      </c>
      <c r="C455" s="55" t="s">
        <v>3788</v>
      </c>
      <c r="D455" s="55" t="s">
        <v>3789</v>
      </c>
      <c r="E455" s="55" t="s">
        <v>3790</v>
      </c>
      <c r="F455" s="55" t="s">
        <v>2318</v>
      </c>
      <c r="G455" s="55" t="s">
        <v>3791</v>
      </c>
      <c r="I455" s="55" t="s">
        <v>805</v>
      </c>
    </row>
    <row r="456" customFormat="false" ht="11.25" hidden="false" customHeight="true" outlineLevel="0" collapsed="false">
      <c r="A456" s="55" t="s">
        <v>2243</v>
      </c>
      <c r="B456" s="55" t="s">
        <v>16</v>
      </c>
      <c r="C456" s="55" t="s">
        <v>3792</v>
      </c>
      <c r="D456" s="55" t="s">
        <v>3793</v>
      </c>
      <c r="E456" s="55" t="s">
        <v>3794</v>
      </c>
      <c r="F456" s="55" t="s">
        <v>2291</v>
      </c>
      <c r="I456" s="55" t="s">
        <v>805</v>
      </c>
    </row>
    <row r="457" customFormat="false" ht="11.25" hidden="false" customHeight="true" outlineLevel="0" collapsed="false">
      <c r="A457" s="55" t="s">
        <v>2243</v>
      </c>
      <c r="B457" s="55" t="s">
        <v>16</v>
      </c>
      <c r="C457" s="55" t="s">
        <v>3795</v>
      </c>
      <c r="D457" s="55" t="s">
        <v>3796</v>
      </c>
      <c r="E457" s="55" t="s">
        <v>3797</v>
      </c>
      <c r="F457" s="55" t="s">
        <v>2314</v>
      </c>
      <c r="G457" s="55" t="s">
        <v>3798</v>
      </c>
      <c r="I457" s="55" t="s">
        <v>805</v>
      </c>
    </row>
    <row r="458" customFormat="false" ht="11.25" hidden="false" customHeight="true" outlineLevel="0" collapsed="false">
      <c r="A458" s="55" t="s">
        <v>2243</v>
      </c>
      <c r="B458" s="55" t="s">
        <v>16</v>
      </c>
      <c r="C458" s="55" t="s">
        <v>3799</v>
      </c>
      <c r="D458" s="55" t="s">
        <v>3800</v>
      </c>
      <c r="E458" s="55" t="s">
        <v>3801</v>
      </c>
      <c r="F458" s="55" t="s">
        <v>3802</v>
      </c>
      <c r="I458" s="55" t="s">
        <v>805</v>
      </c>
    </row>
    <row r="459" customFormat="false" ht="11.25" hidden="false" customHeight="true" outlineLevel="0" collapsed="false">
      <c r="A459" s="55" t="s">
        <v>2243</v>
      </c>
      <c r="B459" s="55" t="s">
        <v>16</v>
      </c>
      <c r="C459" s="55" t="s">
        <v>3803</v>
      </c>
      <c r="D459" s="55" t="s">
        <v>3804</v>
      </c>
      <c r="E459" s="55" t="s">
        <v>3805</v>
      </c>
      <c r="F459" s="55" t="s">
        <v>2890</v>
      </c>
      <c r="I459" s="55" t="s">
        <v>805</v>
      </c>
    </row>
    <row r="460" customFormat="false" ht="11.25" hidden="false" customHeight="true" outlineLevel="0" collapsed="false">
      <c r="A460" s="55" t="s">
        <v>2243</v>
      </c>
      <c r="B460" s="55" t="s">
        <v>16</v>
      </c>
      <c r="C460" s="55" t="s">
        <v>3806</v>
      </c>
      <c r="D460" s="55" t="s">
        <v>3807</v>
      </c>
      <c r="E460" s="55" t="s">
        <v>3808</v>
      </c>
      <c r="F460" s="55" t="s">
        <v>2314</v>
      </c>
      <c r="I460" s="55" t="s">
        <v>805</v>
      </c>
    </row>
    <row r="461" customFormat="false" ht="11.25" hidden="false" customHeight="true" outlineLevel="0" collapsed="false">
      <c r="A461" s="55" t="s">
        <v>2243</v>
      </c>
      <c r="B461" s="55" t="s">
        <v>16</v>
      </c>
      <c r="C461" s="55" t="s">
        <v>3809</v>
      </c>
      <c r="D461" s="55" t="s">
        <v>3810</v>
      </c>
      <c r="E461" s="55" t="s">
        <v>3811</v>
      </c>
      <c r="F461" s="55" t="s">
        <v>2371</v>
      </c>
      <c r="I461" s="55" t="s">
        <v>805</v>
      </c>
    </row>
    <row r="462" customFormat="false" ht="11.25" hidden="false" customHeight="true" outlineLevel="0" collapsed="false">
      <c r="A462" s="55" t="s">
        <v>2243</v>
      </c>
      <c r="B462" s="55" t="s">
        <v>16</v>
      </c>
      <c r="C462" s="55" t="s">
        <v>3812</v>
      </c>
      <c r="D462" s="55" t="s">
        <v>3813</v>
      </c>
      <c r="E462" s="55" t="s">
        <v>3814</v>
      </c>
      <c r="F462" s="55" t="s">
        <v>2470</v>
      </c>
      <c r="I462" s="55" t="s">
        <v>805</v>
      </c>
    </row>
    <row r="463" customFormat="false" ht="11.25" hidden="false" customHeight="true" outlineLevel="0" collapsed="false">
      <c r="A463" s="55" t="s">
        <v>2243</v>
      </c>
      <c r="B463" s="55" t="s">
        <v>16</v>
      </c>
      <c r="C463" s="55" t="s">
        <v>3815</v>
      </c>
      <c r="D463" s="55" t="s">
        <v>3816</v>
      </c>
      <c r="E463" s="55" t="s">
        <v>3817</v>
      </c>
      <c r="F463" s="55" t="s">
        <v>2283</v>
      </c>
      <c r="G463" s="55" t="s">
        <v>3818</v>
      </c>
      <c r="I463" s="55" t="s">
        <v>805</v>
      </c>
    </row>
    <row r="464" customFormat="false" ht="11.25" hidden="false" customHeight="true" outlineLevel="0" collapsed="false">
      <c r="A464" s="55" t="s">
        <v>2243</v>
      </c>
      <c r="B464" s="55" t="s">
        <v>16</v>
      </c>
      <c r="C464" s="55" t="s">
        <v>3819</v>
      </c>
      <c r="D464" s="55" t="s">
        <v>3820</v>
      </c>
      <c r="E464" s="55" t="s">
        <v>3821</v>
      </c>
      <c r="F464" s="55" t="s">
        <v>2566</v>
      </c>
      <c r="G464" s="55" t="s">
        <v>3822</v>
      </c>
      <c r="I464" s="55" t="s">
        <v>805</v>
      </c>
    </row>
    <row r="465" customFormat="false" ht="11.25" hidden="false" customHeight="true" outlineLevel="0" collapsed="false">
      <c r="A465" s="55" t="s">
        <v>2243</v>
      </c>
      <c r="B465" s="55" t="s">
        <v>16</v>
      </c>
      <c r="C465" s="55" t="s">
        <v>3823</v>
      </c>
      <c r="D465" s="55" t="s">
        <v>3824</v>
      </c>
      <c r="E465" s="55" t="s">
        <v>3825</v>
      </c>
      <c r="F465" s="55" t="s">
        <v>2558</v>
      </c>
      <c r="I465" s="55" t="s">
        <v>805</v>
      </c>
    </row>
    <row r="466" customFormat="false" ht="11.25" hidden="false" customHeight="true" outlineLevel="0" collapsed="false">
      <c r="A466" s="55" t="s">
        <v>2243</v>
      </c>
      <c r="B466" s="55" t="s">
        <v>16</v>
      </c>
      <c r="C466" s="55" t="s">
        <v>3826</v>
      </c>
      <c r="D466" s="55" t="s">
        <v>3827</v>
      </c>
      <c r="E466" s="55" t="s">
        <v>3828</v>
      </c>
      <c r="F466" s="55" t="s">
        <v>2371</v>
      </c>
      <c r="G466" s="55" t="s">
        <v>3829</v>
      </c>
      <c r="I466" s="55" t="s">
        <v>805</v>
      </c>
    </row>
    <row r="467" customFormat="false" ht="11.25" hidden="false" customHeight="true" outlineLevel="0" collapsed="false">
      <c r="A467" s="55" t="s">
        <v>2243</v>
      </c>
      <c r="B467" s="55" t="s">
        <v>16</v>
      </c>
      <c r="C467" s="55" t="s">
        <v>3830</v>
      </c>
      <c r="D467" s="55" t="s">
        <v>3831</v>
      </c>
      <c r="E467" s="55" t="s">
        <v>3832</v>
      </c>
      <c r="F467" s="55" t="s">
        <v>2314</v>
      </c>
      <c r="G467" s="55" t="s">
        <v>3833</v>
      </c>
      <c r="I467" s="55" t="s">
        <v>805</v>
      </c>
    </row>
    <row r="468" customFormat="false" ht="11.25" hidden="false" customHeight="true" outlineLevel="0" collapsed="false">
      <c r="A468" s="55" t="s">
        <v>2243</v>
      </c>
      <c r="B468" s="55" t="s">
        <v>16</v>
      </c>
      <c r="C468" s="55" t="s">
        <v>3834</v>
      </c>
      <c r="D468" s="55" t="s">
        <v>3835</v>
      </c>
      <c r="E468" s="55" t="s">
        <v>3836</v>
      </c>
      <c r="F468" s="55" t="s">
        <v>3837</v>
      </c>
      <c r="G468" s="55" t="s">
        <v>3838</v>
      </c>
      <c r="I468" s="55" t="s">
        <v>805</v>
      </c>
    </row>
    <row r="469" customFormat="false" ht="11.25" hidden="false" customHeight="true" outlineLevel="0" collapsed="false">
      <c r="A469" s="55" t="s">
        <v>2243</v>
      </c>
      <c r="B469" s="55" t="s">
        <v>16</v>
      </c>
      <c r="C469" s="55" t="s">
        <v>3839</v>
      </c>
      <c r="D469" s="55" t="s">
        <v>3840</v>
      </c>
      <c r="E469" s="55" t="s">
        <v>3841</v>
      </c>
      <c r="F469" s="55" t="s">
        <v>2672</v>
      </c>
      <c r="H469" s="55" t="s">
        <v>3842</v>
      </c>
      <c r="I469" s="55" t="s">
        <v>805</v>
      </c>
    </row>
    <row r="470" customFormat="false" ht="11.25" hidden="false" customHeight="true" outlineLevel="0" collapsed="false">
      <c r="A470" s="55" t="s">
        <v>2243</v>
      </c>
      <c r="B470" s="55" t="s">
        <v>16</v>
      </c>
      <c r="C470" s="55" t="s">
        <v>3843</v>
      </c>
      <c r="D470" s="55" t="s">
        <v>3844</v>
      </c>
      <c r="E470" s="55" t="s">
        <v>3845</v>
      </c>
      <c r="F470" s="55" t="s">
        <v>2291</v>
      </c>
      <c r="I470" s="55" t="s">
        <v>805</v>
      </c>
    </row>
    <row r="471" customFormat="false" ht="11.25" hidden="false" customHeight="true" outlineLevel="0" collapsed="false">
      <c r="A471" s="55" t="s">
        <v>2243</v>
      </c>
      <c r="B471" s="55" t="s">
        <v>16</v>
      </c>
      <c r="C471" s="55" t="s">
        <v>3846</v>
      </c>
      <c r="D471" s="55" t="s">
        <v>3847</v>
      </c>
      <c r="E471" s="55" t="s">
        <v>3848</v>
      </c>
      <c r="F471" s="55" t="s">
        <v>2672</v>
      </c>
      <c r="I471" s="55" t="s">
        <v>805</v>
      </c>
    </row>
    <row r="472" customFormat="false" ht="11.25" hidden="false" customHeight="true" outlineLevel="0" collapsed="false">
      <c r="A472" s="55" t="s">
        <v>2243</v>
      </c>
      <c r="B472" s="55" t="s">
        <v>16</v>
      </c>
      <c r="C472" s="55" t="s">
        <v>3849</v>
      </c>
      <c r="D472" s="55" t="s">
        <v>3850</v>
      </c>
      <c r="E472" s="55" t="s">
        <v>3851</v>
      </c>
      <c r="F472" s="55" t="s">
        <v>2894</v>
      </c>
      <c r="I472" s="55" t="s">
        <v>805</v>
      </c>
    </row>
    <row r="473" customFormat="false" ht="11.25" hidden="false" customHeight="true" outlineLevel="0" collapsed="false">
      <c r="A473" s="55" t="s">
        <v>2243</v>
      </c>
      <c r="B473" s="55" t="s">
        <v>16</v>
      </c>
      <c r="C473" s="55" t="s">
        <v>3852</v>
      </c>
      <c r="D473" s="55" t="s">
        <v>3853</v>
      </c>
      <c r="E473" s="55" t="s">
        <v>3854</v>
      </c>
      <c r="F473" s="55" t="s">
        <v>2470</v>
      </c>
      <c r="I473" s="55" t="s">
        <v>805</v>
      </c>
    </row>
    <row r="474" customFormat="false" ht="11.25" hidden="false" customHeight="true" outlineLevel="0" collapsed="false">
      <c r="A474" s="55" t="s">
        <v>2243</v>
      </c>
      <c r="B474" s="55" t="s">
        <v>16</v>
      </c>
      <c r="C474" s="55" t="s">
        <v>3855</v>
      </c>
      <c r="D474" s="55" t="s">
        <v>3856</v>
      </c>
      <c r="E474" s="55" t="s">
        <v>3857</v>
      </c>
      <c r="F474" s="55" t="s">
        <v>2314</v>
      </c>
      <c r="G474" s="55" t="s">
        <v>2638</v>
      </c>
      <c r="I474" s="55" t="s">
        <v>805</v>
      </c>
    </row>
    <row r="475" customFormat="false" ht="11.25" hidden="false" customHeight="true" outlineLevel="0" collapsed="false">
      <c r="A475" s="55" t="s">
        <v>2243</v>
      </c>
      <c r="B475" s="55" t="s">
        <v>16</v>
      </c>
      <c r="C475" s="55" t="s">
        <v>3858</v>
      </c>
      <c r="D475" s="55" t="s">
        <v>3859</v>
      </c>
      <c r="E475" s="55" t="s">
        <v>3860</v>
      </c>
      <c r="F475" s="55" t="s">
        <v>2470</v>
      </c>
      <c r="G475" s="55" t="s">
        <v>3701</v>
      </c>
      <c r="I475" s="55" t="s">
        <v>805</v>
      </c>
    </row>
    <row r="476" customFormat="false" ht="11.25" hidden="false" customHeight="true" outlineLevel="0" collapsed="false">
      <c r="A476" s="55" t="s">
        <v>2243</v>
      </c>
      <c r="B476" s="55" t="s">
        <v>16</v>
      </c>
      <c r="C476" s="55" t="s">
        <v>3861</v>
      </c>
      <c r="D476" s="55" t="s">
        <v>3862</v>
      </c>
      <c r="E476" s="55" t="s">
        <v>3863</v>
      </c>
      <c r="F476" s="55" t="s">
        <v>2470</v>
      </c>
      <c r="G476" s="55" t="s">
        <v>3864</v>
      </c>
      <c r="I476" s="55" t="s">
        <v>805</v>
      </c>
    </row>
    <row r="477" customFormat="false" ht="11.25" hidden="false" customHeight="true" outlineLevel="0" collapsed="false">
      <c r="A477" s="55" t="s">
        <v>2243</v>
      </c>
      <c r="B477" s="55" t="s">
        <v>16</v>
      </c>
      <c r="C477" s="55" t="s">
        <v>3865</v>
      </c>
      <c r="D477" s="55" t="s">
        <v>3866</v>
      </c>
      <c r="E477" s="55" t="s">
        <v>3867</v>
      </c>
      <c r="F477" s="55" t="s">
        <v>2318</v>
      </c>
      <c r="I477" s="55" t="s">
        <v>805</v>
      </c>
    </row>
    <row r="478" customFormat="false" ht="11.25" hidden="false" customHeight="true" outlineLevel="0" collapsed="false">
      <c r="A478" s="55" t="s">
        <v>2243</v>
      </c>
      <c r="B478" s="55" t="s">
        <v>16</v>
      </c>
      <c r="C478" s="55" t="s">
        <v>3868</v>
      </c>
      <c r="D478" s="55" t="s">
        <v>3869</v>
      </c>
      <c r="E478" s="55" t="s">
        <v>3870</v>
      </c>
      <c r="F478" s="55" t="s">
        <v>2314</v>
      </c>
      <c r="I478" s="55" t="s">
        <v>805</v>
      </c>
    </row>
    <row r="479" customFormat="false" ht="11.25" hidden="false" customHeight="true" outlineLevel="0" collapsed="false">
      <c r="A479" s="55" t="s">
        <v>2243</v>
      </c>
      <c r="B479" s="55" t="s">
        <v>16</v>
      </c>
      <c r="C479" s="55" t="s">
        <v>3871</v>
      </c>
      <c r="D479" s="55" t="s">
        <v>3872</v>
      </c>
      <c r="E479" s="55" t="s">
        <v>3873</v>
      </c>
      <c r="F479" s="55" t="s">
        <v>2247</v>
      </c>
      <c r="I479" s="55" t="s">
        <v>805</v>
      </c>
    </row>
    <row r="480" customFormat="false" ht="11.25" hidden="false" customHeight="true" outlineLevel="0" collapsed="false">
      <c r="A480" s="55" t="s">
        <v>2243</v>
      </c>
      <c r="B480" s="55" t="s">
        <v>16</v>
      </c>
      <c r="C480" s="55" t="s">
        <v>3874</v>
      </c>
      <c r="D480" s="55" t="s">
        <v>3875</v>
      </c>
      <c r="E480" s="55" t="s">
        <v>3876</v>
      </c>
      <c r="F480" s="55" t="s">
        <v>2314</v>
      </c>
      <c r="G480" s="55" t="s">
        <v>3877</v>
      </c>
      <c r="I480" s="55" t="s">
        <v>805</v>
      </c>
    </row>
    <row r="481" customFormat="false" ht="11.25" hidden="false" customHeight="true" outlineLevel="0" collapsed="false">
      <c r="A481" s="55" t="s">
        <v>2243</v>
      </c>
      <c r="B481" s="55" t="s">
        <v>16</v>
      </c>
      <c r="C481" s="55" t="s">
        <v>3878</v>
      </c>
      <c r="D481" s="55" t="s">
        <v>3879</v>
      </c>
      <c r="E481" s="55" t="s">
        <v>3880</v>
      </c>
      <c r="F481" s="55" t="s">
        <v>2371</v>
      </c>
      <c r="G481" s="55" t="s">
        <v>3881</v>
      </c>
      <c r="I481" s="55" t="s">
        <v>805</v>
      </c>
    </row>
    <row r="482" customFormat="false" ht="11.25" hidden="false" customHeight="true" outlineLevel="0" collapsed="false">
      <c r="A482" s="55" t="s">
        <v>2243</v>
      </c>
      <c r="B482" s="55" t="s">
        <v>16</v>
      </c>
      <c r="C482" s="55" t="s">
        <v>3882</v>
      </c>
      <c r="D482" s="55" t="s">
        <v>3883</v>
      </c>
      <c r="E482" s="55" t="s">
        <v>3884</v>
      </c>
      <c r="F482" s="55" t="s">
        <v>2371</v>
      </c>
      <c r="G482" s="55" t="s">
        <v>3885</v>
      </c>
      <c r="I482" s="55" t="s">
        <v>805</v>
      </c>
    </row>
    <row r="483" customFormat="false" ht="11.25" hidden="false" customHeight="true" outlineLevel="0" collapsed="false">
      <c r="A483" s="55" t="s">
        <v>2243</v>
      </c>
      <c r="B483" s="55" t="s">
        <v>16</v>
      </c>
      <c r="C483" s="55" t="s">
        <v>3886</v>
      </c>
      <c r="D483" s="55" t="s">
        <v>3887</v>
      </c>
      <c r="E483" s="55" t="s">
        <v>3888</v>
      </c>
      <c r="F483" s="55" t="s">
        <v>2371</v>
      </c>
      <c r="I483" s="55" t="s">
        <v>805</v>
      </c>
    </row>
    <row r="484" customFormat="false" ht="11.25" hidden="false" customHeight="true" outlineLevel="0" collapsed="false">
      <c r="A484" s="55" t="s">
        <v>2243</v>
      </c>
      <c r="B484" s="55" t="s">
        <v>16</v>
      </c>
      <c r="C484" s="55" t="s">
        <v>3889</v>
      </c>
      <c r="D484" s="55" t="s">
        <v>3890</v>
      </c>
      <c r="E484" s="55" t="s">
        <v>3891</v>
      </c>
      <c r="F484" s="55" t="s">
        <v>2558</v>
      </c>
      <c r="G484" s="55" t="s">
        <v>3892</v>
      </c>
      <c r="I484" s="55" t="s">
        <v>805</v>
      </c>
    </row>
    <row r="485" customFormat="false" ht="11.25" hidden="false" customHeight="true" outlineLevel="0" collapsed="false">
      <c r="A485" s="55" t="s">
        <v>2243</v>
      </c>
      <c r="B485" s="55" t="s">
        <v>16</v>
      </c>
      <c r="C485" s="55" t="s">
        <v>3893</v>
      </c>
      <c r="D485" s="55" t="s">
        <v>3894</v>
      </c>
      <c r="E485" s="55" t="s">
        <v>3895</v>
      </c>
      <c r="F485" s="55" t="s">
        <v>2291</v>
      </c>
      <c r="I485" s="55" t="s">
        <v>805</v>
      </c>
    </row>
    <row r="486" customFormat="false" ht="11.25" hidden="false" customHeight="true" outlineLevel="0" collapsed="false">
      <c r="A486" s="55" t="s">
        <v>2243</v>
      </c>
      <c r="B486" s="55" t="s">
        <v>16</v>
      </c>
      <c r="C486" s="55" t="s">
        <v>3896</v>
      </c>
      <c r="D486" s="55" t="s">
        <v>3897</v>
      </c>
      <c r="E486" s="55" t="s">
        <v>3898</v>
      </c>
      <c r="F486" s="55" t="s">
        <v>2247</v>
      </c>
      <c r="I486" s="55" t="s">
        <v>805</v>
      </c>
    </row>
    <row r="487" customFormat="false" ht="11.25" hidden="false" customHeight="true" outlineLevel="0" collapsed="false">
      <c r="A487" s="55" t="s">
        <v>2243</v>
      </c>
      <c r="B487" s="55" t="s">
        <v>16</v>
      </c>
      <c r="C487" s="55" t="s">
        <v>3899</v>
      </c>
      <c r="D487" s="55" t="s">
        <v>3900</v>
      </c>
      <c r="E487" s="55" t="s">
        <v>3901</v>
      </c>
      <c r="F487" s="55" t="s">
        <v>2470</v>
      </c>
      <c r="I487" s="55" t="s">
        <v>805</v>
      </c>
    </row>
    <row r="488" customFormat="false" ht="11.25" hidden="false" customHeight="true" outlineLevel="0" collapsed="false">
      <c r="A488" s="55" t="s">
        <v>2243</v>
      </c>
      <c r="B488" s="55" t="s">
        <v>16</v>
      </c>
      <c r="C488" s="55" t="s">
        <v>3902</v>
      </c>
      <c r="D488" s="55" t="s">
        <v>3903</v>
      </c>
      <c r="E488" s="55" t="s">
        <v>3904</v>
      </c>
      <c r="F488" s="55" t="s">
        <v>2733</v>
      </c>
      <c r="G488" s="55" t="s">
        <v>3905</v>
      </c>
      <c r="I488" s="55" t="s">
        <v>805</v>
      </c>
    </row>
    <row r="489" customFormat="false" ht="11.25" hidden="false" customHeight="true" outlineLevel="0" collapsed="false">
      <c r="A489" s="55" t="s">
        <v>2243</v>
      </c>
      <c r="B489" s="55" t="s">
        <v>16</v>
      </c>
      <c r="C489" s="55" t="s">
        <v>3906</v>
      </c>
      <c r="D489" s="55" t="s">
        <v>3907</v>
      </c>
      <c r="E489" s="55" t="s">
        <v>3908</v>
      </c>
      <c r="F489" s="55" t="s">
        <v>2291</v>
      </c>
      <c r="I489" s="55" t="s">
        <v>805</v>
      </c>
    </row>
    <row r="490" customFormat="false" ht="11.25" hidden="false" customHeight="true" outlineLevel="0" collapsed="false">
      <c r="A490" s="55" t="s">
        <v>2243</v>
      </c>
      <c r="B490" s="55" t="s">
        <v>16</v>
      </c>
      <c r="C490" s="55" t="s">
        <v>3909</v>
      </c>
      <c r="D490" s="55" t="s">
        <v>3910</v>
      </c>
      <c r="E490" s="55" t="s">
        <v>3911</v>
      </c>
      <c r="F490" s="55" t="s">
        <v>3912</v>
      </c>
      <c r="I490" s="55" t="s">
        <v>805</v>
      </c>
    </row>
    <row r="491" customFormat="false" ht="11.25" hidden="false" customHeight="true" outlineLevel="0" collapsed="false">
      <c r="A491" s="55" t="s">
        <v>2243</v>
      </c>
      <c r="B491" s="55" t="s">
        <v>16</v>
      </c>
      <c r="C491" s="55" t="s">
        <v>3913</v>
      </c>
      <c r="D491" s="55" t="s">
        <v>3914</v>
      </c>
      <c r="E491" s="55" t="s">
        <v>3915</v>
      </c>
      <c r="F491" s="55" t="s">
        <v>2291</v>
      </c>
      <c r="G491" s="55" t="s">
        <v>3916</v>
      </c>
      <c r="I491" s="55" t="s">
        <v>805</v>
      </c>
    </row>
    <row r="492" customFormat="false" ht="11.25" hidden="false" customHeight="true" outlineLevel="0" collapsed="false">
      <c r="A492" s="55" t="s">
        <v>2243</v>
      </c>
      <c r="B492" s="55" t="s">
        <v>16</v>
      </c>
      <c r="C492" s="55" t="s">
        <v>3917</v>
      </c>
      <c r="D492" s="55" t="s">
        <v>3918</v>
      </c>
      <c r="E492" s="55" t="s">
        <v>3919</v>
      </c>
      <c r="F492" s="55" t="s">
        <v>3130</v>
      </c>
      <c r="I492" s="55" t="s">
        <v>805</v>
      </c>
    </row>
    <row r="493" customFormat="false" ht="11.25" hidden="false" customHeight="true" outlineLevel="0" collapsed="false">
      <c r="A493" s="55" t="s">
        <v>2243</v>
      </c>
      <c r="B493" s="55" t="s">
        <v>16</v>
      </c>
      <c r="C493" s="55" t="s">
        <v>3920</v>
      </c>
      <c r="D493" s="55" t="s">
        <v>3921</v>
      </c>
      <c r="E493" s="55" t="s">
        <v>3922</v>
      </c>
      <c r="F493" s="55" t="s">
        <v>2318</v>
      </c>
      <c r="I493" s="55" t="s">
        <v>805</v>
      </c>
    </row>
    <row r="494" customFormat="false" ht="11.25" hidden="false" customHeight="true" outlineLevel="0" collapsed="false">
      <c r="A494" s="55" t="s">
        <v>2243</v>
      </c>
      <c r="B494" s="55" t="s">
        <v>16</v>
      </c>
      <c r="C494" s="55" t="s">
        <v>3923</v>
      </c>
      <c r="D494" s="55" t="s">
        <v>3924</v>
      </c>
      <c r="E494" s="55" t="s">
        <v>3925</v>
      </c>
      <c r="F494" s="55" t="s">
        <v>2247</v>
      </c>
      <c r="G494" s="55" t="s">
        <v>3926</v>
      </c>
      <c r="I494" s="55" t="s">
        <v>805</v>
      </c>
    </row>
    <row r="495" customFormat="false" ht="11.25" hidden="false" customHeight="true" outlineLevel="0" collapsed="false">
      <c r="A495" s="55" t="s">
        <v>2243</v>
      </c>
      <c r="B495" s="55" t="s">
        <v>16</v>
      </c>
      <c r="C495" s="55" t="s">
        <v>3927</v>
      </c>
      <c r="D495" s="55" t="s">
        <v>3928</v>
      </c>
      <c r="E495" s="55" t="s">
        <v>3929</v>
      </c>
      <c r="F495" s="55" t="s">
        <v>2371</v>
      </c>
      <c r="G495" s="55" t="s">
        <v>3930</v>
      </c>
      <c r="I495" s="55" t="s">
        <v>805</v>
      </c>
    </row>
    <row r="496" customFormat="false" ht="11.25" hidden="false" customHeight="true" outlineLevel="0" collapsed="false">
      <c r="A496" s="55" t="s">
        <v>2243</v>
      </c>
      <c r="B496" s="55" t="s">
        <v>16</v>
      </c>
      <c r="C496" s="55" t="s">
        <v>3931</v>
      </c>
      <c r="D496" s="55" t="s">
        <v>3932</v>
      </c>
      <c r="E496" s="55" t="s">
        <v>3933</v>
      </c>
      <c r="F496" s="55" t="s">
        <v>2318</v>
      </c>
      <c r="G496" s="55" t="s">
        <v>3934</v>
      </c>
      <c r="I496" s="55" t="s">
        <v>805</v>
      </c>
    </row>
    <row r="497" customFormat="false" ht="11.25" hidden="false" customHeight="true" outlineLevel="0" collapsed="false">
      <c r="A497" s="55" t="s">
        <v>2243</v>
      </c>
      <c r="B497" s="55" t="s">
        <v>16</v>
      </c>
      <c r="C497" s="55" t="s">
        <v>3935</v>
      </c>
      <c r="D497" s="55" t="s">
        <v>3936</v>
      </c>
      <c r="E497" s="55" t="s">
        <v>3937</v>
      </c>
      <c r="F497" s="55" t="s">
        <v>2470</v>
      </c>
      <c r="I497" s="55" t="s">
        <v>805</v>
      </c>
    </row>
    <row r="498" customFormat="false" ht="11.25" hidden="false" customHeight="true" outlineLevel="0" collapsed="false">
      <c r="A498" s="55" t="s">
        <v>2243</v>
      </c>
      <c r="B498" s="55" t="s">
        <v>16</v>
      </c>
      <c r="C498" s="55" t="s">
        <v>3938</v>
      </c>
      <c r="D498" s="55" t="s">
        <v>3939</v>
      </c>
      <c r="E498" s="55" t="s">
        <v>3940</v>
      </c>
      <c r="F498" s="55" t="s">
        <v>2314</v>
      </c>
      <c r="I498" s="55" t="s">
        <v>805</v>
      </c>
    </row>
    <row r="499" customFormat="false" ht="11.25" hidden="false" customHeight="true" outlineLevel="0" collapsed="false">
      <c r="A499" s="55" t="s">
        <v>2243</v>
      </c>
      <c r="B499" s="55" t="s">
        <v>16</v>
      </c>
      <c r="C499" s="55" t="s">
        <v>3941</v>
      </c>
      <c r="D499" s="55" t="s">
        <v>3942</v>
      </c>
      <c r="E499" s="55" t="s">
        <v>3943</v>
      </c>
      <c r="F499" s="55" t="s">
        <v>2470</v>
      </c>
      <c r="I499" s="55" t="s">
        <v>805</v>
      </c>
    </row>
    <row r="500" customFormat="false" ht="11.25" hidden="false" customHeight="true" outlineLevel="0" collapsed="false">
      <c r="A500" s="55" t="s">
        <v>2243</v>
      </c>
      <c r="B500" s="55" t="s">
        <v>16</v>
      </c>
      <c r="C500" s="55" t="s">
        <v>3944</v>
      </c>
      <c r="D500" s="55" t="s">
        <v>3945</v>
      </c>
      <c r="E500" s="55" t="s">
        <v>3946</v>
      </c>
      <c r="F500" s="55" t="s">
        <v>2247</v>
      </c>
      <c r="I500" s="55" t="s">
        <v>805</v>
      </c>
    </row>
    <row r="501" customFormat="false" ht="11.25" hidden="false" customHeight="true" outlineLevel="0" collapsed="false">
      <c r="A501" s="55" t="s">
        <v>2243</v>
      </c>
      <c r="B501" s="55" t="s">
        <v>16</v>
      </c>
      <c r="C501" s="55" t="s">
        <v>3947</v>
      </c>
      <c r="D501" s="55" t="s">
        <v>3948</v>
      </c>
      <c r="E501" s="55" t="s">
        <v>3949</v>
      </c>
      <c r="F501" s="55" t="s">
        <v>2318</v>
      </c>
      <c r="I501" s="55" t="s">
        <v>805</v>
      </c>
    </row>
    <row r="502" customFormat="false" ht="11.25" hidden="false" customHeight="true" outlineLevel="0" collapsed="false">
      <c r="A502" s="55" t="s">
        <v>2243</v>
      </c>
      <c r="B502" s="55" t="s">
        <v>16</v>
      </c>
      <c r="C502" s="55" t="s">
        <v>3950</v>
      </c>
      <c r="D502" s="55" t="s">
        <v>3951</v>
      </c>
      <c r="E502" s="55" t="s">
        <v>3952</v>
      </c>
      <c r="F502" s="55" t="s">
        <v>2705</v>
      </c>
      <c r="I502" s="55" t="s">
        <v>805</v>
      </c>
    </row>
    <row r="503" customFormat="false" ht="11.25" hidden="false" customHeight="true" outlineLevel="0" collapsed="false">
      <c r="A503" s="55" t="s">
        <v>2243</v>
      </c>
      <c r="B503" s="55" t="s">
        <v>16</v>
      </c>
      <c r="C503" s="55" t="s">
        <v>3953</v>
      </c>
      <c r="D503" s="55" t="s">
        <v>3954</v>
      </c>
      <c r="E503" s="55" t="s">
        <v>3955</v>
      </c>
      <c r="F503" s="55" t="s">
        <v>2709</v>
      </c>
      <c r="I503" s="55" t="s">
        <v>805</v>
      </c>
    </row>
    <row r="504" customFormat="false" ht="11.25" hidden="false" customHeight="true" outlineLevel="0" collapsed="false">
      <c r="A504" s="55" t="s">
        <v>2243</v>
      </c>
      <c r="B504" s="55" t="s">
        <v>16</v>
      </c>
      <c r="C504" s="55" t="s">
        <v>3956</v>
      </c>
      <c r="D504" s="55" t="s">
        <v>3957</v>
      </c>
      <c r="E504" s="55" t="s">
        <v>3423</v>
      </c>
      <c r="F504" s="55" t="s">
        <v>2470</v>
      </c>
      <c r="G504" s="55" t="s">
        <v>3958</v>
      </c>
      <c r="I504" s="55" t="s">
        <v>805</v>
      </c>
    </row>
    <row r="505" customFormat="false" ht="11.25" hidden="false" customHeight="true" outlineLevel="0" collapsed="false">
      <c r="A505" s="55" t="s">
        <v>2243</v>
      </c>
      <c r="B505" s="55" t="s">
        <v>16</v>
      </c>
      <c r="C505" s="55" t="s">
        <v>3959</v>
      </c>
      <c r="D505" s="55" t="s">
        <v>3960</v>
      </c>
      <c r="E505" s="55" t="s">
        <v>3961</v>
      </c>
      <c r="F505" s="55" t="s">
        <v>2470</v>
      </c>
      <c r="I505" s="55" t="s">
        <v>805</v>
      </c>
    </row>
    <row r="506" customFormat="false" ht="11.25" hidden="false" customHeight="true" outlineLevel="0" collapsed="false">
      <c r="A506" s="55" t="s">
        <v>2243</v>
      </c>
      <c r="B506" s="55" t="s">
        <v>16</v>
      </c>
      <c r="C506" s="55" t="s">
        <v>3962</v>
      </c>
      <c r="D506" s="55" t="s">
        <v>3963</v>
      </c>
      <c r="E506" s="55" t="s">
        <v>3964</v>
      </c>
      <c r="F506" s="55" t="s">
        <v>2558</v>
      </c>
      <c r="I506" s="55" t="s">
        <v>805</v>
      </c>
    </row>
    <row r="507" customFormat="false" ht="11.25" hidden="false" customHeight="true" outlineLevel="0" collapsed="false">
      <c r="A507" s="55" t="s">
        <v>2243</v>
      </c>
      <c r="B507" s="55" t="s">
        <v>16</v>
      </c>
      <c r="C507" s="55" t="s">
        <v>3965</v>
      </c>
      <c r="D507" s="55" t="s">
        <v>3966</v>
      </c>
      <c r="E507" s="55" t="s">
        <v>3967</v>
      </c>
      <c r="F507" s="55" t="s">
        <v>2470</v>
      </c>
      <c r="I507" s="55" t="s">
        <v>805</v>
      </c>
    </row>
    <row r="508" customFormat="false" ht="11.25" hidden="false" customHeight="true" outlineLevel="0" collapsed="false">
      <c r="A508" s="55" t="s">
        <v>2243</v>
      </c>
      <c r="B508" s="55" t="s">
        <v>16</v>
      </c>
      <c r="C508" s="55" t="s">
        <v>3968</v>
      </c>
      <c r="D508" s="55" t="s">
        <v>3969</v>
      </c>
      <c r="E508" s="55" t="s">
        <v>3970</v>
      </c>
      <c r="F508" s="55" t="s">
        <v>2329</v>
      </c>
      <c r="I508" s="55" t="s">
        <v>805</v>
      </c>
    </row>
    <row r="509" customFormat="false" ht="11.25" hidden="false" customHeight="true" outlineLevel="0" collapsed="false">
      <c r="A509" s="55" t="s">
        <v>2243</v>
      </c>
      <c r="B509" s="55" t="s">
        <v>16</v>
      </c>
      <c r="C509" s="55" t="s">
        <v>3971</v>
      </c>
      <c r="D509" s="55" t="s">
        <v>3972</v>
      </c>
      <c r="E509" s="55" t="s">
        <v>3973</v>
      </c>
      <c r="F509" s="55" t="s">
        <v>2333</v>
      </c>
      <c r="G509" s="55" t="s">
        <v>3974</v>
      </c>
      <c r="I509" s="55" t="s">
        <v>805</v>
      </c>
    </row>
    <row r="510" customFormat="false" ht="11.25" hidden="false" customHeight="true" outlineLevel="0" collapsed="false">
      <c r="A510" s="55" t="s">
        <v>2243</v>
      </c>
      <c r="B510" s="55" t="s">
        <v>16</v>
      </c>
      <c r="C510" s="55" t="s">
        <v>3975</v>
      </c>
      <c r="D510" s="55" t="s">
        <v>3976</v>
      </c>
      <c r="E510" s="55" t="s">
        <v>3977</v>
      </c>
      <c r="F510" s="55" t="s">
        <v>2333</v>
      </c>
      <c r="I510" s="55" t="s">
        <v>805</v>
      </c>
    </row>
    <row r="511" customFormat="false" ht="11.25" hidden="false" customHeight="true" outlineLevel="0" collapsed="false">
      <c r="A511" s="55" t="s">
        <v>2243</v>
      </c>
      <c r="B511" s="55" t="s">
        <v>16</v>
      </c>
      <c r="C511" s="55" t="s">
        <v>3978</v>
      </c>
      <c r="D511" s="55" t="s">
        <v>3979</v>
      </c>
      <c r="E511" s="55" t="s">
        <v>3980</v>
      </c>
      <c r="F511" s="55" t="s">
        <v>3981</v>
      </c>
      <c r="G511" s="55" t="s">
        <v>3982</v>
      </c>
      <c r="I511" s="55" t="s">
        <v>805</v>
      </c>
    </row>
    <row r="512" customFormat="false" ht="11.25" hidden="false" customHeight="true" outlineLevel="0" collapsed="false">
      <c r="A512" s="55" t="s">
        <v>2243</v>
      </c>
      <c r="B512" s="55" t="s">
        <v>16</v>
      </c>
      <c r="C512" s="55" t="s">
        <v>3983</v>
      </c>
      <c r="D512" s="55" t="s">
        <v>3984</v>
      </c>
      <c r="E512" s="55" t="s">
        <v>3985</v>
      </c>
      <c r="F512" s="55" t="s">
        <v>3986</v>
      </c>
      <c r="I512" s="55" t="s">
        <v>805</v>
      </c>
    </row>
    <row r="513" customFormat="false" ht="11.25" hidden="false" customHeight="true" outlineLevel="0" collapsed="false">
      <c r="A513" s="55" t="s">
        <v>2243</v>
      </c>
      <c r="B513" s="55" t="s">
        <v>16</v>
      </c>
      <c r="C513" s="55" t="s">
        <v>3987</v>
      </c>
      <c r="D513" s="55" t="s">
        <v>3988</v>
      </c>
      <c r="E513" s="55" t="s">
        <v>3560</v>
      </c>
      <c r="F513" s="55" t="s">
        <v>3989</v>
      </c>
      <c r="I513" s="55" t="s">
        <v>805</v>
      </c>
    </row>
    <row r="514" customFormat="false" ht="11.25" hidden="false" customHeight="true" outlineLevel="0" collapsed="false">
      <c r="A514" s="55" t="s">
        <v>2243</v>
      </c>
      <c r="B514" s="55" t="s">
        <v>16</v>
      </c>
      <c r="C514" s="55" t="s">
        <v>3990</v>
      </c>
      <c r="D514" s="55" t="s">
        <v>3991</v>
      </c>
      <c r="E514" s="55" t="s">
        <v>3992</v>
      </c>
      <c r="F514" s="55" t="s">
        <v>2347</v>
      </c>
      <c r="G514" s="55" t="s">
        <v>3993</v>
      </c>
      <c r="I514" s="55" t="s">
        <v>805</v>
      </c>
    </row>
    <row r="515" customFormat="false" ht="11.25" hidden="false" customHeight="true" outlineLevel="0" collapsed="false">
      <c r="A515" s="55" t="s">
        <v>2243</v>
      </c>
      <c r="B515" s="55" t="s">
        <v>16</v>
      </c>
      <c r="C515" s="55" t="s">
        <v>3994</v>
      </c>
      <c r="D515" s="55" t="s">
        <v>3995</v>
      </c>
      <c r="E515" s="55" t="s">
        <v>3996</v>
      </c>
      <c r="F515" s="55" t="s">
        <v>2291</v>
      </c>
      <c r="I515" s="55" t="s">
        <v>805</v>
      </c>
    </row>
    <row r="516" customFormat="false" ht="11.25" hidden="false" customHeight="true" outlineLevel="0" collapsed="false">
      <c r="A516" s="55" t="s">
        <v>2243</v>
      </c>
      <c r="B516" s="55" t="s">
        <v>16</v>
      </c>
      <c r="C516" s="55" t="s">
        <v>3997</v>
      </c>
      <c r="D516" s="55" t="s">
        <v>3998</v>
      </c>
      <c r="E516" s="55" t="s">
        <v>3999</v>
      </c>
      <c r="F516" s="55" t="s">
        <v>2291</v>
      </c>
      <c r="I516" s="55" t="s">
        <v>805</v>
      </c>
    </row>
    <row r="517" customFormat="false" ht="11.25" hidden="false" customHeight="true" outlineLevel="0" collapsed="false">
      <c r="A517" s="55" t="s">
        <v>2243</v>
      </c>
      <c r="B517" s="55" t="s">
        <v>16</v>
      </c>
      <c r="C517" s="55" t="s">
        <v>4000</v>
      </c>
      <c r="D517" s="55" t="s">
        <v>4001</v>
      </c>
      <c r="E517" s="55" t="s">
        <v>4002</v>
      </c>
      <c r="F517" s="55" t="s">
        <v>2314</v>
      </c>
      <c r="I517" s="55" t="s">
        <v>805</v>
      </c>
    </row>
    <row r="518" customFormat="false" ht="11.25" hidden="false" customHeight="true" outlineLevel="0" collapsed="false">
      <c r="A518" s="55" t="s">
        <v>2243</v>
      </c>
      <c r="B518" s="55" t="s">
        <v>16</v>
      </c>
      <c r="C518" s="55" t="s">
        <v>4003</v>
      </c>
      <c r="D518" s="55" t="s">
        <v>4004</v>
      </c>
      <c r="E518" s="55" t="s">
        <v>4005</v>
      </c>
      <c r="F518" s="55" t="s">
        <v>2387</v>
      </c>
      <c r="G518" s="55" t="s">
        <v>4006</v>
      </c>
      <c r="I518" s="55" t="s">
        <v>805</v>
      </c>
    </row>
    <row r="519" customFormat="false" ht="11.25" hidden="false" customHeight="true" outlineLevel="0" collapsed="false">
      <c r="A519" s="55" t="s">
        <v>2243</v>
      </c>
      <c r="B519" s="55" t="s">
        <v>16</v>
      </c>
      <c r="C519" s="55" t="s">
        <v>4007</v>
      </c>
      <c r="D519" s="55" t="s">
        <v>4008</v>
      </c>
      <c r="E519" s="55" t="s">
        <v>4009</v>
      </c>
      <c r="F519" s="55" t="s">
        <v>2470</v>
      </c>
      <c r="I519" s="55" t="s">
        <v>805</v>
      </c>
    </row>
    <row r="520" customFormat="false" ht="11.25" hidden="false" customHeight="true" outlineLevel="0" collapsed="false">
      <c r="A520" s="55" t="s">
        <v>2243</v>
      </c>
      <c r="B520" s="55" t="s">
        <v>16</v>
      </c>
      <c r="C520" s="55" t="s">
        <v>4010</v>
      </c>
      <c r="D520" s="55" t="s">
        <v>4011</v>
      </c>
      <c r="E520" s="55" t="s">
        <v>4012</v>
      </c>
      <c r="F520" s="55" t="s">
        <v>2329</v>
      </c>
      <c r="G520" s="55" t="s">
        <v>4013</v>
      </c>
      <c r="I520" s="55" t="s">
        <v>805</v>
      </c>
    </row>
    <row r="521" customFormat="false" ht="11.25" hidden="false" customHeight="true" outlineLevel="0" collapsed="false">
      <c r="A521" s="55" t="s">
        <v>2243</v>
      </c>
      <c r="B521" s="55" t="s">
        <v>16</v>
      </c>
      <c r="C521" s="55" t="s">
        <v>4014</v>
      </c>
      <c r="D521" s="55" t="s">
        <v>4015</v>
      </c>
      <c r="E521" s="55" t="s">
        <v>4016</v>
      </c>
      <c r="F521" s="55" t="s">
        <v>2318</v>
      </c>
      <c r="I521" s="55" t="s">
        <v>805</v>
      </c>
    </row>
    <row r="522" customFormat="false" ht="11.25" hidden="false" customHeight="true" outlineLevel="0" collapsed="false">
      <c r="A522" s="55" t="s">
        <v>2243</v>
      </c>
      <c r="B522" s="55" t="s">
        <v>16</v>
      </c>
      <c r="C522" s="55" t="s">
        <v>4017</v>
      </c>
      <c r="D522" s="55" t="s">
        <v>4018</v>
      </c>
      <c r="E522" s="55" t="s">
        <v>4019</v>
      </c>
      <c r="F522" s="55" t="s">
        <v>2566</v>
      </c>
      <c r="I522" s="55" t="s">
        <v>805</v>
      </c>
    </row>
    <row r="523" customFormat="false" ht="11.25" hidden="false" customHeight="true" outlineLevel="0" collapsed="false">
      <c r="A523" s="55" t="s">
        <v>2243</v>
      </c>
      <c r="B523" s="55" t="s">
        <v>16</v>
      </c>
      <c r="C523" s="55" t="s">
        <v>4020</v>
      </c>
      <c r="D523" s="55" t="s">
        <v>4021</v>
      </c>
      <c r="E523" s="55" t="s">
        <v>4022</v>
      </c>
      <c r="F523" s="55" t="s">
        <v>2757</v>
      </c>
      <c r="I523" s="55" t="s">
        <v>805</v>
      </c>
    </row>
    <row r="524" customFormat="false" ht="11.25" hidden="false" customHeight="true" outlineLevel="0" collapsed="false">
      <c r="A524" s="55" t="s">
        <v>2243</v>
      </c>
      <c r="B524" s="55" t="s">
        <v>16</v>
      </c>
      <c r="C524" s="55" t="s">
        <v>4023</v>
      </c>
      <c r="D524" s="55" t="s">
        <v>4024</v>
      </c>
      <c r="E524" s="55" t="s">
        <v>4025</v>
      </c>
      <c r="F524" s="55" t="s">
        <v>3837</v>
      </c>
      <c r="G524" s="55" t="s">
        <v>4026</v>
      </c>
      <c r="I524" s="55" t="s">
        <v>805</v>
      </c>
    </row>
    <row r="525" customFormat="false" ht="11.25" hidden="false" customHeight="true" outlineLevel="0" collapsed="false">
      <c r="A525" s="55" t="s">
        <v>2243</v>
      </c>
      <c r="B525" s="55" t="s">
        <v>16</v>
      </c>
      <c r="C525" s="55" t="s">
        <v>4027</v>
      </c>
      <c r="D525" s="55" t="s">
        <v>4028</v>
      </c>
      <c r="E525" s="55" t="s">
        <v>4029</v>
      </c>
      <c r="F525" s="55" t="s">
        <v>2566</v>
      </c>
      <c r="G525" s="55" t="s">
        <v>4030</v>
      </c>
      <c r="I525" s="55" t="s">
        <v>805</v>
      </c>
    </row>
    <row r="526" customFormat="false" ht="11.25" hidden="false" customHeight="true" outlineLevel="0" collapsed="false">
      <c r="A526" s="55" t="s">
        <v>2243</v>
      </c>
      <c r="B526" s="55" t="s">
        <v>16</v>
      </c>
      <c r="C526" s="55" t="s">
        <v>4031</v>
      </c>
      <c r="D526" s="55" t="s">
        <v>4032</v>
      </c>
      <c r="E526" s="55" t="s">
        <v>4033</v>
      </c>
      <c r="F526" s="55" t="s">
        <v>2301</v>
      </c>
      <c r="I526" s="55" t="s">
        <v>805</v>
      </c>
    </row>
    <row r="527" customFormat="false" ht="11.25" hidden="false" customHeight="true" outlineLevel="0" collapsed="false">
      <c r="A527" s="55" t="s">
        <v>2243</v>
      </c>
      <c r="B527" s="55" t="s">
        <v>16</v>
      </c>
      <c r="C527" s="55" t="s">
        <v>4034</v>
      </c>
      <c r="D527" s="55" t="s">
        <v>4035</v>
      </c>
      <c r="E527" s="55" t="s">
        <v>4036</v>
      </c>
      <c r="F527" s="55" t="s">
        <v>2338</v>
      </c>
      <c r="I527" s="55" t="s">
        <v>805</v>
      </c>
    </row>
    <row r="528" customFormat="false" ht="11.25" hidden="false" customHeight="true" outlineLevel="0" collapsed="false">
      <c r="A528" s="55" t="s">
        <v>2243</v>
      </c>
      <c r="B528" s="55" t="s">
        <v>16</v>
      </c>
      <c r="C528" s="55" t="s">
        <v>4037</v>
      </c>
      <c r="D528" s="55" t="s">
        <v>4038</v>
      </c>
      <c r="E528" s="55" t="s">
        <v>4039</v>
      </c>
      <c r="F528" s="55" t="s">
        <v>2470</v>
      </c>
      <c r="I528" s="55" t="s">
        <v>805</v>
      </c>
    </row>
    <row r="529" customFormat="false" ht="11.25" hidden="false" customHeight="true" outlineLevel="0" collapsed="false">
      <c r="A529" s="55" t="s">
        <v>2243</v>
      </c>
      <c r="B529" s="55" t="s">
        <v>16</v>
      </c>
      <c r="C529" s="55" t="s">
        <v>4040</v>
      </c>
      <c r="D529" s="55" t="s">
        <v>4041</v>
      </c>
      <c r="E529" s="55" t="s">
        <v>4042</v>
      </c>
      <c r="F529" s="55" t="s">
        <v>3728</v>
      </c>
      <c r="G529" s="55" t="s">
        <v>4043</v>
      </c>
      <c r="I529" s="55" t="s">
        <v>805</v>
      </c>
    </row>
    <row r="530" customFormat="false" ht="11.25" hidden="false" customHeight="true" outlineLevel="0" collapsed="false">
      <c r="A530" s="55" t="s">
        <v>2243</v>
      </c>
      <c r="B530" s="55" t="s">
        <v>16</v>
      </c>
      <c r="C530" s="55" t="s">
        <v>4044</v>
      </c>
      <c r="D530" s="55" t="s">
        <v>4045</v>
      </c>
      <c r="E530" s="55" t="s">
        <v>4046</v>
      </c>
      <c r="F530" s="55" t="s">
        <v>2558</v>
      </c>
      <c r="I530" s="55" t="s">
        <v>805</v>
      </c>
    </row>
    <row r="531" customFormat="false" ht="11.25" hidden="false" customHeight="true" outlineLevel="0" collapsed="false">
      <c r="A531" s="55" t="s">
        <v>2243</v>
      </c>
      <c r="B531" s="55" t="s">
        <v>16</v>
      </c>
      <c r="C531" s="55" t="s">
        <v>4047</v>
      </c>
      <c r="D531" s="55" t="s">
        <v>4048</v>
      </c>
      <c r="E531" s="55" t="s">
        <v>4049</v>
      </c>
      <c r="F531" s="55" t="s">
        <v>2357</v>
      </c>
      <c r="I531" s="55" t="s">
        <v>805</v>
      </c>
    </row>
    <row r="532" customFormat="false" ht="11.25" hidden="false" customHeight="true" outlineLevel="0" collapsed="false">
      <c r="A532" s="55" t="s">
        <v>2243</v>
      </c>
      <c r="B532" s="55" t="s">
        <v>16</v>
      </c>
      <c r="C532" s="55" t="s">
        <v>4050</v>
      </c>
      <c r="D532" s="55" t="s">
        <v>4051</v>
      </c>
      <c r="E532" s="55" t="s">
        <v>4052</v>
      </c>
      <c r="F532" s="55" t="s">
        <v>2757</v>
      </c>
      <c r="I532" s="55" t="s">
        <v>805</v>
      </c>
    </row>
    <row r="533" customFormat="false" ht="11.25" hidden="false" customHeight="true" outlineLevel="0" collapsed="false">
      <c r="A533" s="55" t="s">
        <v>2243</v>
      </c>
      <c r="B533" s="55" t="s">
        <v>16</v>
      </c>
      <c r="C533" s="55" t="s">
        <v>4053</v>
      </c>
      <c r="D533" s="55" t="s">
        <v>4054</v>
      </c>
      <c r="E533" s="55" t="s">
        <v>4055</v>
      </c>
      <c r="F533" s="55" t="s">
        <v>2318</v>
      </c>
      <c r="I533" s="55" t="s">
        <v>805</v>
      </c>
    </row>
    <row r="534" customFormat="false" ht="11.25" hidden="false" customHeight="true" outlineLevel="0" collapsed="false">
      <c r="A534" s="55" t="s">
        <v>2243</v>
      </c>
      <c r="B534" s="55" t="s">
        <v>16</v>
      </c>
      <c r="C534" s="55" t="s">
        <v>4056</v>
      </c>
      <c r="D534" s="55" t="s">
        <v>4057</v>
      </c>
      <c r="E534" s="55" t="s">
        <v>4058</v>
      </c>
      <c r="F534" s="55" t="s">
        <v>2749</v>
      </c>
      <c r="I534" s="55" t="s">
        <v>805</v>
      </c>
    </row>
    <row r="535" customFormat="false" ht="11.25" hidden="false" customHeight="true" outlineLevel="0" collapsed="false">
      <c r="A535" s="55" t="s">
        <v>2243</v>
      </c>
      <c r="B535" s="55" t="s">
        <v>16</v>
      </c>
      <c r="C535" s="55" t="s">
        <v>4059</v>
      </c>
      <c r="D535" s="55" t="s">
        <v>4060</v>
      </c>
      <c r="E535" s="55" t="s">
        <v>4061</v>
      </c>
      <c r="F535" s="55" t="s">
        <v>4062</v>
      </c>
      <c r="I535" s="55" t="s">
        <v>805</v>
      </c>
    </row>
    <row r="536" customFormat="false" ht="11.25" hidden="false" customHeight="true" outlineLevel="0" collapsed="false">
      <c r="A536" s="55" t="s">
        <v>2243</v>
      </c>
      <c r="B536" s="55" t="s">
        <v>16</v>
      </c>
      <c r="C536" s="55" t="s">
        <v>4063</v>
      </c>
      <c r="D536" s="55" t="s">
        <v>4064</v>
      </c>
      <c r="E536" s="55" t="s">
        <v>4065</v>
      </c>
      <c r="F536" s="55" t="s">
        <v>2309</v>
      </c>
      <c r="G536" s="55" t="s">
        <v>3177</v>
      </c>
      <c r="I536" s="55" t="s">
        <v>805</v>
      </c>
    </row>
    <row r="537" customFormat="false" ht="11.25" hidden="false" customHeight="true" outlineLevel="0" collapsed="false">
      <c r="A537" s="55" t="s">
        <v>2243</v>
      </c>
      <c r="B537" s="55" t="s">
        <v>16</v>
      </c>
      <c r="C537" s="55" t="s">
        <v>4066</v>
      </c>
      <c r="D537" s="55" t="s">
        <v>4067</v>
      </c>
      <c r="E537" s="55" t="s">
        <v>4068</v>
      </c>
      <c r="F537" s="55" t="s">
        <v>2318</v>
      </c>
      <c r="G537" s="55" t="s">
        <v>4069</v>
      </c>
      <c r="I537" s="55" t="s">
        <v>805</v>
      </c>
    </row>
    <row r="538" customFormat="false" ht="11.25" hidden="false" customHeight="true" outlineLevel="0" collapsed="false">
      <c r="A538" s="55" t="s">
        <v>2243</v>
      </c>
      <c r="B538" s="55" t="s">
        <v>16</v>
      </c>
      <c r="C538" s="55" t="s">
        <v>4070</v>
      </c>
      <c r="D538" s="55" t="s">
        <v>4071</v>
      </c>
      <c r="E538" s="55" t="s">
        <v>2523</v>
      </c>
      <c r="F538" s="55" t="s">
        <v>4072</v>
      </c>
      <c r="I538" s="55" t="s">
        <v>805</v>
      </c>
    </row>
    <row r="539" customFormat="false" ht="11.25" hidden="false" customHeight="true" outlineLevel="0" collapsed="false">
      <c r="A539" s="55" t="s">
        <v>2243</v>
      </c>
      <c r="B539" s="55" t="s">
        <v>16</v>
      </c>
      <c r="C539" s="55" t="s">
        <v>4073</v>
      </c>
      <c r="D539" s="55" t="s">
        <v>4074</v>
      </c>
      <c r="E539" s="55" t="s">
        <v>2523</v>
      </c>
      <c r="F539" s="55" t="s">
        <v>4075</v>
      </c>
      <c r="I539" s="55" t="s">
        <v>805</v>
      </c>
    </row>
    <row r="540" customFormat="false" ht="11.25" hidden="false" customHeight="true" outlineLevel="0" collapsed="false">
      <c r="A540" s="55" t="s">
        <v>2243</v>
      </c>
      <c r="B540" s="55" t="s">
        <v>16</v>
      </c>
      <c r="C540" s="55" t="s">
        <v>4076</v>
      </c>
      <c r="D540" s="55" t="s">
        <v>4077</v>
      </c>
      <c r="E540" s="55" t="s">
        <v>4078</v>
      </c>
      <c r="F540" s="55" t="s">
        <v>2566</v>
      </c>
      <c r="G540" s="55" t="s">
        <v>4079</v>
      </c>
      <c r="H540" s="55" t="s">
        <v>4080</v>
      </c>
      <c r="I540" s="55" t="s">
        <v>805</v>
      </c>
    </row>
    <row r="541" customFormat="false" ht="11.25" hidden="false" customHeight="true" outlineLevel="0" collapsed="false">
      <c r="A541" s="55" t="s">
        <v>2243</v>
      </c>
      <c r="B541" s="55" t="s">
        <v>16</v>
      </c>
      <c r="C541" s="55" t="s">
        <v>4081</v>
      </c>
      <c r="D541" s="55" t="s">
        <v>4082</v>
      </c>
      <c r="E541" s="55" t="s">
        <v>4083</v>
      </c>
      <c r="F541" s="55" t="s">
        <v>2291</v>
      </c>
      <c r="I541" s="55" t="s">
        <v>805</v>
      </c>
    </row>
    <row r="542" customFormat="false" ht="11.25" hidden="false" customHeight="true" outlineLevel="0" collapsed="false">
      <c r="A542" s="55" t="s">
        <v>2243</v>
      </c>
      <c r="B542" s="55" t="s">
        <v>16</v>
      </c>
      <c r="C542" s="55" t="s">
        <v>4084</v>
      </c>
      <c r="D542" s="55" t="s">
        <v>4085</v>
      </c>
      <c r="E542" s="55" t="s">
        <v>4086</v>
      </c>
      <c r="F542" s="55" t="s">
        <v>2733</v>
      </c>
      <c r="I542" s="55" t="s">
        <v>805</v>
      </c>
    </row>
    <row r="543" customFormat="false" ht="11.25" hidden="false" customHeight="true" outlineLevel="0" collapsed="false">
      <c r="A543" s="55" t="s">
        <v>2243</v>
      </c>
      <c r="B543" s="55" t="s">
        <v>16</v>
      </c>
      <c r="C543" s="55" t="s">
        <v>4087</v>
      </c>
      <c r="D543" s="55" t="s">
        <v>4088</v>
      </c>
      <c r="E543" s="55" t="s">
        <v>4089</v>
      </c>
      <c r="F543" s="55" t="s">
        <v>2347</v>
      </c>
      <c r="G543" s="55" t="s">
        <v>3693</v>
      </c>
      <c r="I543" s="55" t="s">
        <v>805</v>
      </c>
    </row>
    <row r="544" customFormat="false" ht="11.25" hidden="false" customHeight="true" outlineLevel="0" collapsed="false">
      <c r="A544" s="55" t="s">
        <v>2243</v>
      </c>
      <c r="B544" s="55" t="s">
        <v>16</v>
      </c>
      <c r="C544" s="55" t="s">
        <v>4090</v>
      </c>
      <c r="D544" s="55" t="s">
        <v>4091</v>
      </c>
      <c r="E544" s="55" t="s">
        <v>4092</v>
      </c>
      <c r="F544" s="55" t="s">
        <v>2566</v>
      </c>
      <c r="I544" s="55" t="s">
        <v>805</v>
      </c>
    </row>
    <row r="545" customFormat="false" ht="11.25" hidden="false" customHeight="true" outlineLevel="0" collapsed="false">
      <c r="A545" s="55" t="s">
        <v>2243</v>
      </c>
      <c r="B545" s="55" t="s">
        <v>16</v>
      </c>
      <c r="C545" s="55" t="s">
        <v>4093</v>
      </c>
      <c r="D545" s="55" t="s">
        <v>4094</v>
      </c>
      <c r="E545" s="55" t="s">
        <v>4095</v>
      </c>
      <c r="F545" s="55" t="s">
        <v>3802</v>
      </c>
      <c r="I545" s="55" t="s">
        <v>805</v>
      </c>
    </row>
    <row r="546" customFormat="false" ht="11.25" hidden="false" customHeight="true" outlineLevel="0" collapsed="false">
      <c r="A546" s="55" t="s">
        <v>2243</v>
      </c>
      <c r="B546" s="55" t="s">
        <v>16</v>
      </c>
      <c r="C546" s="55" t="s">
        <v>4096</v>
      </c>
      <c r="D546" s="55" t="s">
        <v>4097</v>
      </c>
      <c r="E546" s="55" t="s">
        <v>4098</v>
      </c>
      <c r="F546" s="55" t="s">
        <v>2247</v>
      </c>
      <c r="I546" s="55" t="s">
        <v>805</v>
      </c>
    </row>
    <row r="547" customFormat="false" ht="11.25" hidden="false" customHeight="true" outlineLevel="0" collapsed="false">
      <c r="A547" s="55" t="s">
        <v>2243</v>
      </c>
      <c r="B547" s="55" t="s">
        <v>16</v>
      </c>
      <c r="C547" s="55" t="s">
        <v>4099</v>
      </c>
      <c r="D547" s="55" t="s">
        <v>4100</v>
      </c>
      <c r="E547" s="55" t="s">
        <v>4101</v>
      </c>
      <c r="F547" s="55" t="s">
        <v>2338</v>
      </c>
      <c r="I547" s="55" t="s">
        <v>805</v>
      </c>
    </row>
    <row r="548" customFormat="false" ht="11.25" hidden="false" customHeight="true" outlineLevel="0" collapsed="false">
      <c r="A548" s="55" t="s">
        <v>2243</v>
      </c>
      <c r="B548" s="55" t="s">
        <v>16</v>
      </c>
      <c r="C548" s="55" t="s">
        <v>4102</v>
      </c>
      <c r="D548" s="55" t="s">
        <v>4103</v>
      </c>
      <c r="E548" s="55" t="s">
        <v>4104</v>
      </c>
      <c r="F548" s="55" t="s">
        <v>2338</v>
      </c>
      <c r="I548" s="55" t="s">
        <v>805</v>
      </c>
    </row>
    <row r="549" customFormat="false" ht="11.25" hidden="false" customHeight="true" outlineLevel="0" collapsed="false">
      <c r="A549" s="55" t="s">
        <v>2243</v>
      </c>
      <c r="B549" s="55" t="s">
        <v>16</v>
      </c>
      <c r="C549" s="55" t="s">
        <v>4105</v>
      </c>
      <c r="D549" s="55" t="s">
        <v>4106</v>
      </c>
      <c r="E549" s="55" t="s">
        <v>4107</v>
      </c>
      <c r="F549" s="55" t="s">
        <v>2309</v>
      </c>
      <c r="I549" s="55" t="s">
        <v>805</v>
      </c>
    </row>
    <row r="550" customFormat="false" ht="11.25" hidden="false" customHeight="true" outlineLevel="0" collapsed="false">
      <c r="A550" s="55" t="s">
        <v>2243</v>
      </c>
      <c r="B550" s="55" t="s">
        <v>16</v>
      </c>
      <c r="C550" s="55" t="s">
        <v>4108</v>
      </c>
      <c r="D550" s="55" t="s">
        <v>4109</v>
      </c>
      <c r="E550" s="55" t="s">
        <v>4110</v>
      </c>
      <c r="F550" s="55" t="s">
        <v>2470</v>
      </c>
      <c r="I550" s="55" t="s">
        <v>805</v>
      </c>
    </row>
    <row r="551" customFormat="false" ht="11.25" hidden="false" customHeight="true" outlineLevel="0" collapsed="false">
      <c r="A551" s="55" t="s">
        <v>2243</v>
      </c>
      <c r="B551" s="55" t="s">
        <v>16</v>
      </c>
      <c r="C551" s="55" t="s">
        <v>4111</v>
      </c>
      <c r="D551" s="55" t="s">
        <v>4112</v>
      </c>
      <c r="E551" s="55" t="s">
        <v>4113</v>
      </c>
      <c r="F551" s="55" t="s">
        <v>4114</v>
      </c>
      <c r="H551" s="55" t="s">
        <v>4115</v>
      </c>
      <c r="I551" s="55" t="s">
        <v>805</v>
      </c>
    </row>
    <row r="552" customFormat="false" ht="11.25" hidden="false" customHeight="true" outlineLevel="0" collapsed="false">
      <c r="A552" s="55" t="s">
        <v>2243</v>
      </c>
      <c r="B552" s="55" t="s">
        <v>16</v>
      </c>
      <c r="C552" s="55" t="s">
        <v>4116</v>
      </c>
      <c r="D552" s="55" t="s">
        <v>4117</v>
      </c>
      <c r="E552" s="55" t="s">
        <v>4118</v>
      </c>
      <c r="F552" s="55" t="s">
        <v>4119</v>
      </c>
      <c r="I552" s="55" t="s">
        <v>805</v>
      </c>
    </row>
    <row r="553" customFormat="false" ht="11.25" hidden="false" customHeight="true" outlineLevel="0" collapsed="false">
      <c r="A553" s="55" t="s">
        <v>2243</v>
      </c>
      <c r="B553" s="55" t="s">
        <v>16</v>
      </c>
      <c r="C553" s="55" t="s">
        <v>4120</v>
      </c>
      <c r="D553" s="55" t="s">
        <v>4121</v>
      </c>
      <c r="E553" s="55" t="s">
        <v>4122</v>
      </c>
      <c r="F553" s="55" t="s">
        <v>2558</v>
      </c>
      <c r="G553" s="55" t="s">
        <v>3693</v>
      </c>
      <c r="I553" s="55" t="s">
        <v>805</v>
      </c>
    </row>
    <row r="554" customFormat="false" ht="11.25" hidden="false" customHeight="true" outlineLevel="0" collapsed="false">
      <c r="A554" s="55" t="s">
        <v>2243</v>
      </c>
      <c r="B554" s="55" t="s">
        <v>16</v>
      </c>
      <c r="C554" s="55" t="s">
        <v>4123</v>
      </c>
      <c r="D554" s="55" t="s">
        <v>4124</v>
      </c>
      <c r="E554" s="55" t="s">
        <v>4125</v>
      </c>
      <c r="F554" s="55" t="s">
        <v>4126</v>
      </c>
      <c r="I554" s="55" t="s">
        <v>805</v>
      </c>
    </row>
    <row r="555" customFormat="false" ht="11.25" hidden="false" customHeight="true" outlineLevel="0" collapsed="false">
      <c r="A555" s="55" t="s">
        <v>2243</v>
      </c>
      <c r="B555" s="55" t="s">
        <v>16</v>
      </c>
      <c r="C555" s="55" t="s">
        <v>4127</v>
      </c>
      <c r="D555" s="55" t="s">
        <v>4128</v>
      </c>
      <c r="E555" s="55" t="s">
        <v>4129</v>
      </c>
      <c r="F555" s="55" t="s">
        <v>2371</v>
      </c>
      <c r="I555" s="55" t="s">
        <v>805</v>
      </c>
    </row>
    <row r="556" customFormat="false" ht="11.25" hidden="false" customHeight="true" outlineLevel="0" collapsed="false">
      <c r="A556" s="55" t="s">
        <v>2243</v>
      </c>
      <c r="B556" s="55" t="s">
        <v>16</v>
      </c>
      <c r="C556" s="55" t="s">
        <v>4130</v>
      </c>
      <c r="D556" s="55" t="s">
        <v>4131</v>
      </c>
      <c r="E556" s="55" t="s">
        <v>4132</v>
      </c>
      <c r="F556" s="55" t="s">
        <v>2309</v>
      </c>
      <c r="G556" s="55" t="s">
        <v>4133</v>
      </c>
      <c r="I556" s="55" t="s">
        <v>805</v>
      </c>
    </row>
    <row r="557" customFormat="false" ht="11.25" hidden="false" customHeight="true" outlineLevel="0" collapsed="false">
      <c r="A557" s="55" t="s">
        <v>2243</v>
      </c>
      <c r="B557" s="55" t="s">
        <v>16</v>
      </c>
      <c r="C557" s="55" t="s">
        <v>4134</v>
      </c>
      <c r="D557" s="55" t="s">
        <v>4135</v>
      </c>
      <c r="E557" s="55" t="s">
        <v>4136</v>
      </c>
      <c r="F557" s="55" t="s">
        <v>2309</v>
      </c>
      <c r="I557" s="55" t="s">
        <v>805</v>
      </c>
    </row>
    <row r="558" customFormat="false" ht="11.25" hidden="false" customHeight="true" outlineLevel="0" collapsed="false">
      <c r="A558" s="55" t="s">
        <v>2243</v>
      </c>
      <c r="B558" s="55" t="s">
        <v>16</v>
      </c>
      <c r="C558" s="55" t="s">
        <v>4137</v>
      </c>
      <c r="D558" s="55" t="s">
        <v>4138</v>
      </c>
      <c r="E558" s="55" t="s">
        <v>4139</v>
      </c>
      <c r="F558" s="55" t="s">
        <v>2357</v>
      </c>
      <c r="I558" s="55" t="s">
        <v>805</v>
      </c>
    </row>
    <row r="559" customFormat="false" ht="11.25" hidden="false" customHeight="true" outlineLevel="0" collapsed="false">
      <c r="A559" s="55" t="s">
        <v>2243</v>
      </c>
      <c r="B559" s="55" t="s">
        <v>16</v>
      </c>
      <c r="C559" s="55" t="s">
        <v>4140</v>
      </c>
      <c r="D559" s="55" t="s">
        <v>4141</v>
      </c>
      <c r="E559" s="55" t="s">
        <v>4142</v>
      </c>
      <c r="F559" s="55" t="s">
        <v>2301</v>
      </c>
      <c r="G559" s="55" t="s">
        <v>4143</v>
      </c>
      <c r="I559" s="55" t="s">
        <v>805</v>
      </c>
    </row>
    <row r="560" customFormat="false" ht="11.25" hidden="false" customHeight="true" outlineLevel="0" collapsed="false">
      <c r="A560" s="55" t="s">
        <v>2243</v>
      </c>
      <c r="B560" s="55" t="s">
        <v>16</v>
      </c>
      <c r="C560" s="55" t="s">
        <v>4144</v>
      </c>
      <c r="D560" s="55" t="s">
        <v>4145</v>
      </c>
      <c r="E560" s="55" t="s">
        <v>4146</v>
      </c>
      <c r="F560" s="55" t="s">
        <v>2329</v>
      </c>
      <c r="G560" s="55" t="s">
        <v>4147</v>
      </c>
      <c r="I560" s="55" t="s">
        <v>805</v>
      </c>
    </row>
    <row r="561" customFormat="false" ht="11.25" hidden="false" customHeight="true" outlineLevel="0" collapsed="false">
      <c r="A561" s="55" t="s">
        <v>2243</v>
      </c>
      <c r="B561" s="55" t="s">
        <v>16</v>
      </c>
      <c r="C561" s="55" t="s">
        <v>4148</v>
      </c>
      <c r="D561" s="55" t="s">
        <v>4149</v>
      </c>
      <c r="E561" s="55" t="s">
        <v>4150</v>
      </c>
      <c r="F561" s="55" t="s">
        <v>3130</v>
      </c>
      <c r="G561" s="55" t="s">
        <v>4151</v>
      </c>
      <c r="I561" s="55" t="s">
        <v>805</v>
      </c>
    </row>
    <row r="562" customFormat="false" ht="11.25" hidden="false" customHeight="true" outlineLevel="0" collapsed="false">
      <c r="A562" s="55" t="s">
        <v>2243</v>
      </c>
      <c r="B562" s="55" t="s">
        <v>16</v>
      </c>
      <c r="C562" s="55" t="s">
        <v>4152</v>
      </c>
      <c r="D562" s="55" t="s">
        <v>4153</v>
      </c>
      <c r="E562" s="55" t="s">
        <v>4154</v>
      </c>
      <c r="F562" s="55" t="s">
        <v>4155</v>
      </c>
      <c r="G562" s="55" t="s">
        <v>4156</v>
      </c>
      <c r="I562" s="55" t="s">
        <v>805</v>
      </c>
    </row>
    <row r="563" customFormat="false" ht="11.25" hidden="false" customHeight="true" outlineLevel="0" collapsed="false">
      <c r="A563" s="55" t="s">
        <v>2243</v>
      </c>
      <c r="B563" s="55" t="s">
        <v>16</v>
      </c>
      <c r="C563" s="55" t="s">
        <v>4157</v>
      </c>
      <c r="D563" s="55" t="s">
        <v>4158</v>
      </c>
      <c r="E563" s="55" t="s">
        <v>4159</v>
      </c>
      <c r="F563" s="55" t="s">
        <v>2283</v>
      </c>
      <c r="G563" s="55" t="s">
        <v>4160</v>
      </c>
      <c r="I563" s="55" t="s">
        <v>805</v>
      </c>
    </row>
    <row r="564" customFormat="false" ht="11.25" hidden="false" customHeight="true" outlineLevel="0" collapsed="false">
      <c r="A564" s="55" t="s">
        <v>2243</v>
      </c>
      <c r="B564" s="55" t="s">
        <v>16</v>
      </c>
      <c r="C564" s="55" t="s">
        <v>4161</v>
      </c>
      <c r="D564" s="55" t="s">
        <v>4162</v>
      </c>
      <c r="E564" s="55" t="s">
        <v>4163</v>
      </c>
      <c r="F564" s="55" t="s">
        <v>2318</v>
      </c>
      <c r="I564" s="55" t="s">
        <v>805</v>
      </c>
    </row>
    <row r="565" customFormat="false" ht="11.25" hidden="false" customHeight="true" outlineLevel="0" collapsed="false">
      <c r="A565" s="55" t="s">
        <v>2243</v>
      </c>
      <c r="B565" s="55" t="s">
        <v>16</v>
      </c>
      <c r="C565" s="55" t="s">
        <v>4164</v>
      </c>
      <c r="D565" s="55" t="s">
        <v>4165</v>
      </c>
      <c r="E565" s="55" t="s">
        <v>4129</v>
      </c>
      <c r="F565" s="55" t="s">
        <v>4166</v>
      </c>
      <c r="I565" s="55" t="s">
        <v>805</v>
      </c>
    </row>
    <row r="566" customFormat="false" ht="11.25" hidden="false" customHeight="true" outlineLevel="0" collapsed="false">
      <c r="A566" s="55" t="s">
        <v>2243</v>
      </c>
      <c r="B566" s="55" t="s">
        <v>16</v>
      </c>
      <c r="C566" s="55" t="s">
        <v>4167</v>
      </c>
      <c r="D566" s="55" t="s">
        <v>4168</v>
      </c>
      <c r="E566" s="55" t="s">
        <v>4129</v>
      </c>
      <c r="F566" s="55" t="s">
        <v>2818</v>
      </c>
      <c r="G566" s="55" t="s">
        <v>4169</v>
      </c>
      <c r="I566" s="55" t="s">
        <v>805</v>
      </c>
    </row>
    <row r="567" customFormat="false" ht="11.25" hidden="false" customHeight="true" outlineLevel="0" collapsed="false">
      <c r="A567" s="55" t="s">
        <v>2243</v>
      </c>
      <c r="B567" s="55" t="s">
        <v>16</v>
      </c>
      <c r="C567" s="55" t="s">
        <v>4170</v>
      </c>
      <c r="D567" s="55" t="s">
        <v>4171</v>
      </c>
      <c r="E567" s="55" t="s">
        <v>4172</v>
      </c>
      <c r="F567" s="55" t="s">
        <v>2520</v>
      </c>
      <c r="I567" s="55" t="s">
        <v>805</v>
      </c>
    </row>
    <row r="568" customFormat="false" ht="11.25" hidden="false" customHeight="true" outlineLevel="0" collapsed="false">
      <c r="A568" s="55" t="s">
        <v>2243</v>
      </c>
      <c r="B568" s="55" t="s">
        <v>16</v>
      </c>
      <c r="D568" s="55" t="s">
        <v>4173</v>
      </c>
      <c r="E568" s="55" t="s">
        <v>4174</v>
      </c>
      <c r="F568" s="55" t="s">
        <v>2371</v>
      </c>
      <c r="I568" s="55" t="s">
        <v>805</v>
      </c>
    </row>
    <row r="569" customFormat="false" ht="11.25" hidden="false" customHeight="true" outlineLevel="0" collapsed="false">
      <c r="A569" s="55" t="s">
        <v>2243</v>
      </c>
      <c r="B569" s="55" t="s">
        <v>16</v>
      </c>
      <c r="C569" s="55" t="s">
        <v>4175</v>
      </c>
      <c r="D569" s="55" t="s">
        <v>4176</v>
      </c>
      <c r="E569" s="55" t="s">
        <v>4177</v>
      </c>
      <c r="F569" s="55" t="s">
        <v>2274</v>
      </c>
      <c r="G569" s="55" t="s">
        <v>4178</v>
      </c>
      <c r="I569" s="55" t="s">
        <v>805</v>
      </c>
    </row>
    <row r="570" customFormat="false" ht="11.25" hidden="false" customHeight="true" outlineLevel="0" collapsed="false">
      <c r="A570" s="55" t="s">
        <v>2243</v>
      </c>
      <c r="B570" s="55" t="s">
        <v>16</v>
      </c>
      <c r="C570" s="55" t="s">
        <v>4179</v>
      </c>
      <c r="D570" s="55" t="s">
        <v>4180</v>
      </c>
      <c r="E570" s="55" t="s">
        <v>4181</v>
      </c>
      <c r="F570" s="55" t="s">
        <v>3912</v>
      </c>
      <c r="I570" s="55" t="s">
        <v>805</v>
      </c>
    </row>
    <row r="571" customFormat="false" ht="11.25" hidden="false" customHeight="true" outlineLevel="0" collapsed="false">
      <c r="A571" s="55" t="s">
        <v>2243</v>
      </c>
      <c r="B571" s="55" t="s">
        <v>16</v>
      </c>
      <c r="C571" s="55" t="s">
        <v>4182</v>
      </c>
      <c r="D571" s="55" t="s">
        <v>4183</v>
      </c>
      <c r="E571" s="55" t="s">
        <v>4184</v>
      </c>
      <c r="F571" s="55" t="s">
        <v>3802</v>
      </c>
      <c r="I571" s="55" t="s">
        <v>805</v>
      </c>
    </row>
    <row r="572" customFormat="false" ht="11.25" hidden="false" customHeight="true" outlineLevel="0" collapsed="false">
      <c r="A572" s="55" t="s">
        <v>2243</v>
      </c>
      <c r="B572" s="55" t="s">
        <v>16</v>
      </c>
      <c r="C572" s="55" t="s">
        <v>4185</v>
      </c>
      <c r="D572" s="55" t="s">
        <v>4186</v>
      </c>
      <c r="E572" s="55" t="s">
        <v>4187</v>
      </c>
      <c r="F572" s="55" t="s">
        <v>2247</v>
      </c>
      <c r="I572" s="55" t="s">
        <v>805</v>
      </c>
    </row>
    <row r="573" customFormat="false" ht="11.25" hidden="false" customHeight="true" outlineLevel="0" collapsed="false">
      <c r="A573" s="55" t="s">
        <v>2243</v>
      </c>
      <c r="B573" s="55" t="s">
        <v>16</v>
      </c>
      <c r="C573" s="55" t="s">
        <v>4188</v>
      </c>
      <c r="D573" s="55" t="s">
        <v>4189</v>
      </c>
      <c r="E573" s="55" t="s">
        <v>4190</v>
      </c>
      <c r="F573" s="55" t="s">
        <v>3642</v>
      </c>
      <c r="I573" s="55" t="s">
        <v>805</v>
      </c>
    </row>
    <row r="574" customFormat="false" ht="11.25" hidden="false" customHeight="true" outlineLevel="0" collapsed="false">
      <c r="A574" s="55" t="s">
        <v>2243</v>
      </c>
      <c r="B574" s="55" t="s">
        <v>16</v>
      </c>
      <c r="C574" s="55" t="s">
        <v>4191</v>
      </c>
      <c r="D574" s="55" t="s">
        <v>4192</v>
      </c>
      <c r="E574" s="55" t="s">
        <v>4193</v>
      </c>
      <c r="F574" s="55" t="s">
        <v>2329</v>
      </c>
      <c r="I574" s="55" t="s">
        <v>805</v>
      </c>
    </row>
    <row r="575" customFormat="false" ht="11.25" hidden="false" customHeight="true" outlineLevel="0" collapsed="false">
      <c r="A575" s="55" t="s">
        <v>2243</v>
      </c>
      <c r="B575" s="55" t="s">
        <v>16</v>
      </c>
      <c r="C575" s="55" t="s">
        <v>4194</v>
      </c>
      <c r="D575" s="55" t="s">
        <v>4195</v>
      </c>
      <c r="E575" s="55" t="s">
        <v>4196</v>
      </c>
      <c r="F575" s="55" t="s">
        <v>2247</v>
      </c>
      <c r="G575" s="55" t="s">
        <v>4197</v>
      </c>
      <c r="I575" s="55" t="s">
        <v>805</v>
      </c>
    </row>
    <row r="576" customFormat="false" ht="11.25" hidden="false" customHeight="true" outlineLevel="0" collapsed="false">
      <c r="A576" s="55" t="s">
        <v>2243</v>
      </c>
      <c r="B576" s="55" t="s">
        <v>16</v>
      </c>
      <c r="C576" s="55" t="s">
        <v>4198</v>
      </c>
      <c r="D576" s="55" t="s">
        <v>4199</v>
      </c>
      <c r="E576" s="55" t="s">
        <v>4200</v>
      </c>
      <c r="F576" s="55" t="s">
        <v>4201</v>
      </c>
      <c r="I576" s="55" t="s">
        <v>805</v>
      </c>
    </row>
    <row r="577" customFormat="false" ht="11.25" hidden="false" customHeight="true" outlineLevel="0" collapsed="false">
      <c r="A577" s="55" t="s">
        <v>2243</v>
      </c>
      <c r="B577" s="55" t="s">
        <v>16</v>
      </c>
      <c r="C577" s="55" t="s">
        <v>4202</v>
      </c>
      <c r="D577" s="55" t="s">
        <v>4203</v>
      </c>
      <c r="E577" s="55" t="s">
        <v>4204</v>
      </c>
      <c r="F577" s="55" t="s">
        <v>4205</v>
      </c>
      <c r="G577" s="55" t="s">
        <v>4206</v>
      </c>
      <c r="I577" s="55" t="s">
        <v>805</v>
      </c>
    </row>
    <row r="578" customFormat="false" ht="11.25" hidden="false" customHeight="true" outlineLevel="0" collapsed="false">
      <c r="A578" s="55" t="s">
        <v>2243</v>
      </c>
      <c r="B578" s="55" t="s">
        <v>16</v>
      </c>
      <c r="C578" s="55" t="s">
        <v>4207</v>
      </c>
      <c r="D578" s="55" t="s">
        <v>4208</v>
      </c>
      <c r="E578" s="55" t="s">
        <v>4209</v>
      </c>
      <c r="F578" s="55" t="s">
        <v>4210</v>
      </c>
      <c r="I578" s="55" t="s">
        <v>805</v>
      </c>
    </row>
    <row r="579" customFormat="false" ht="11.25" hidden="false" customHeight="true" outlineLevel="0" collapsed="false">
      <c r="A579" s="55" t="s">
        <v>2243</v>
      </c>
      <c r="B579" s="55" t="s">
        <v>16</v>
      </c>
      <c r="C579" s="55" t="s">
        <v>4211</v>
      </c>
      <c r="D579" s="55" t="s">
        <v>4212</v>
      </c>
      <c r="E579" s="55" t="s">
        <v>4213</v>
      </c>
      <c r="F579" s="55" t="s">
        <v>2247</v>
      </c>
      <c r="I579" s="55" t="s">
        <v>805</v>
      </c>
    </row>
    <row r="580" customFormat="false" ht="11.25" hidden="false" customHeight="true" outlineLevel="0" collapsed="false">
      <c r="A580" s="55" t="s">
        <v>2243</v>
      </c>
      <c r="B580" s="55" t="s">
        <v>16</v>
      </c>
      <c r="C580" s="55" t="s">
        <v>4214</v>
      </c>
      <c r="D580" s="55" t="s">
        <v>4215</v>
      </c>
      <c r="E580" s="55" t="s">
        <v>4216</v>
      </c>
      <c r="F580" s="55" t="s">
        <v>2247</v>
      </c>
      <c r="G580" s="55" t="s">
        <v>4217</v>
      </c>
      <c r="I580" s="55" t="s">
        <v>805</v>
      </c>
    </row>
    <row r="581" customFormat="false" ht="11.25" hidden="false" customHeight="true" outlineLevel="0" collapsed="false">
      <c r="A581" s="55" t="s">
        <v>2243</v>
      </c>
      <c r="B581" s="55" t="s">
        <v>16</v>
      </c>
      <c r="C581" s="55" t="s">
        <v>4218</v>
      </c>
      <c r="D581" s="55" t="s">
        <v>4219</v>
      </c>
      <c r="E581" s="55" t="s">
        <v>4220</v>
      </c>
      <c r="F581" s="55" t="s">
        <v>2371</v>
      </c>
      <c r="I581" s="55" t="s">
        <v>805</v>
      </c>
    </row>
    <row r="582" customFormat="false" ht="11.25" hidden="false" customHeight="true" outlineLevel="0" collapsed="false">
      <c r="A582" s="55" t="s">
        <v>2243</v>
      </c>
      <c r="B582" s="55" t="s">
        <v>16</v>
      </c>
      <c r="C582" s="55" t="s">
        <v>4221</v>
      </c>
      <c r="D582" s="55" t="s">
        <v>4222</v>
      </c>
      <c r="E582" s="55" t="s">
        <v>4223</v>
      </c>
      <c r="F582" s="55" t="s">
        <v>4224</v>
      </c>
      <c r="I582" s="55" t="s">
        <v>805</v>
      </c>
    </row>
    <row r="583" customFormat="false" ht="11.25" hidden="false" customHeight="true" outlineLevel="0" collapsed="false">
      <c r="A583" s="55" t="s">
        <v>2243</v>
      </c>
      <c r="B583" s="55" t="s">
        <v>16</v>
      </c>
      <c r="C583" s="55" t="s">
        <v>4225</v>
      </c>
      <c r="D583" s="55" t="s">
        <v>4226</v>
      </c>
      <c r="E583" s="55" t="s">
        <v>4227</v>
      </c>
      <c r="F583" s="55" t="s">
        <v>2544</v>
      </c>
      <c r="I583" s="55" t="s">
        <v>805</v>
      </c>
    </row>
    <row r="584" customFormat="false" ht="11.25" hidden="false" customHeight="true" outlineLevel="0" collapsed="false">
      <c r="A584" s="55" t="s">
        <v>2243</v>
      </c>
      <c r="B584" s="55" t="s">
        <v>16</v>
      </c>
      <c r="C584" s="55" t="s">
        <v>4228</v>
      </c>
      <c r="D584" s="55" t="s">
        <v>4229</v>
      </c>
      <c r="E584" s="55" t="s">
        <v>4230</v>
      </c>
      <c r="F584" s="55" t="s">
        <v>2371</v>
      </c>
      <c r="I584" s="55" t="s">
        <v>805</v>
      </c>
    </row>
    <row r="585" customFormat="false" ht="11.25" hidden="false" customHeight="true" outlineLevel="0" collapsed="false">
      <c r="A585" s="55" t="s">
        <v>2243</v>
      </c>
      <c r="B585" s="55" t="s">
        <v>16</v>
      </c>
      <c r="C585" s="55" t="s">
        <v>4231</v>
      </c>
      <c r="D585" s="55" t="s">
        <v>4232</v>
      </c>
      <c r="E585" s="55" t="s">
        <v>4233</v>
      </c>
      <c r="F585" s="55" t="s">
        <v>2329</v>
      </c>
      <c r="I585" s="55" t="s">
        <v>805</v>
      </c>
    </row>
    <row r="586" customFormat="false" ht="11.25" hidden="false" customHeight="true" outlineLevel="0" collapsed="false">
      <c r="A586" s="55" t="s">
        <v>2243</v>
      </c>
      <c r="B586" s="55" t="s">
        <v>16</v>
      </c>
      <c r="C586" s="55" t="s">
        <v>4234</v>
      </c>
      <c r="D586" s="55" t="s">
        <v>4235</v>
      </c>
      <c r="E586" s="55" t="s">
        <v>4236</v>
      </c>
      <c r="F586" s="55" t="s">
        <v>2347</v>
      </c>
      <c r="G586" s="55" t="s">
        <v>4237</v>
      </c>
      <c r="I586" s="55" t="s">
        <v>805</v>
      </c>
    </row>
    <row r="587" customFormat="false" ht="11.25" hidden="false" customHeight="true" outlineLevel="0" collapsed="false">
      <c r="A587" s="55" t="s">
        <v>2243</v>
      </c>
      <c r="B587" s="55" t="s">
        <v>16</v>
      </c>
      <c r="C587" s="55" t="s">
        <v>4238</v>
      </c>
      <c r="D587" s="55" t="s">
        <v>4239</v>
      </c>
      <c r="E587" s="55" t="s">
        <v>4240</v>
      </c>
      <c r="F587" s="55" t="s">
        <v>2558</v>
      </c>
      <c r="I587" s="55" t="s">
        <v>805</v>
      </c>
    </row>
    <row r="588" customFormat="false" ht="11.25" hidden="false" customHeight="true" outlineLevel="0" collapsed="false">
      <c r="A588" s="55" t="s">
        <v>2243</v>
      </c>
      <c r="B588" s="55" t="s">
        <v>16</v>
      </c>
      <c r="C588" s="55" t="s">
        <v>4241</v>
      </c>
      <c r="D588" s="55" t="s">
        <v>4242</v>
      </c>
      <c r="E588" s="55" t="s">
        <v>4243</v>
      </c>
      <c r="F588" s="55" t="s">
        <v>3144</v>
      </c>
      <c r="I588" s="55" t="s">
        <v>805</v>
      </c>
    </row>
    <row r="589" customFormat="false" ht="11.25" hidden="false" customHeight="true" outlineLevel="0" collapsed="false">
      <c r="A589" s="55" t="s">
        <v>2243</v>
      </c>
      <c r="B589" s="55" t="s">
        <v>16</v>
      </c>
      <c r="C589" s="55" t="s">
        <v>4244</v>
      </c>
      <c r="D589" s="55" t="s">
        <v>4245</v>
      </c>
      <c r="E589" s="55" t="s">
        <v>4220</v>
      </c>
      <c r="F589" s="55" t="s">
        <v>2749</v>
      </c>
      <c r="G589" s="55" t="s">
        <v>4246</v>
      </c>
      <c r="I589" s="55" t="s">
        <v>805</v>
      </c>
    </row>
    <row r="590" customFormat="false" ht="11.25" hidden="false" customHeight="true" outlineLevel="0" collapsed="false">
      <c r="A590" s="55" t="s">
        <v>2243</v>
      </c>
      <c r="B590" s="55" t="s">
        <v>16</v>
      </c>
      <c r="C590" s="55" t="s">
        <v>4247</v>
      </c>
      <c r="D590" s="55" t="s">
        <v>4248</v>
      </c>
      <c r="E590" s="55" t="s">
        <v>4249</v>
      </c>
      <c r="F590" s="55" t="s">
        <v>3130</v>
      </c>
      <c r="I590" s="55" t="s">
        <v>805</v>
      </c>
    </row>
    <row r="591" customFormat="false" ht="11.25" hidden="false" customHeight="true" outlineLevel="0" collapsed="false">
      <c r="A591" s="55" t="s">
        <v>2243</v>
      </c>
      <c r="B591" s="55" t="s">
        <v>16</v>
      </c>
      <c r="C591" s="55" t="s">
        <v>4250</v>
      </c>
      <c r="D591" s="55" t="s">
        <v>4251</v>
      </c>
      <c r="E591" s="55" t="s">
        <v>4154</v>
      </c>
      <c r="F591" s="55" t="s">
        <v>4252</v>
      </c>
      <c r="G591" s="55" t="s">
        <v>4253</v>
      </c>
      <c r="I591" s="55" t="s">
        <v>805</v>
      </c>
    </row>
    <row r="592" customFormat="false" ht="11.25" hidden="false" customHeight="true" outlineLevel="0" collapsed="false">
      <c r="A592" s="55" t="s">
        <v>2243</v>
      </c>
      <c r="B592" s="55" t="s">
        <v>16</v>
      </c>
      <c r="C592" s="55" t="s">
        <v>4254</v>
      </c>
      <c r="D592" s="55" t="s">
        <v>4255</v>
      </c>
      <c r="E592" s="55" t="s">
        <v>2557</v>
      </c>
      <c r="F592" s="55" t="s">
        <v>4256</v>
      </c>
      <c r="I592" s="55" t="s">
        <v>805</v>
      </c>
    </row>
    <row r="593" customFormat="false" ht="11.25" hidden="false" customHeight="true" outlineLevel="0" collapsed="false">
      <c r="A593" s="55" t="s">
        <v>2243</v>
      </c>
      <c r="B593" s="55" t="s">
        <v>16</v>
      </c>
      <c r="C593" s="55" t="s">
        <v>4257</v>
      </c>
      <c r="D593" s="55" t="s">
        <v>4258</v>
      </c>
      <c r="E593" s="55" t="s">
        <v>2557</v>
      </c>
      <c r="F593" s="55" t="s">
        <v>2653</v>
      </c>
      <c r="G593" s="55" t="s">
        <v>4259</v>
      </c>
      <c r="I593" s="55" t="s">
        <v>805</v>
      </c>
    </row>
    <row r="594" customFormat="false" ht="11.25" hidden="false" customHeight="true" outlineLevel="0" collapsed="false">
      <c r="A594" s="55" t="s">
        <v>2243</v>
      </c>
      <c r="B594" s="55" t="s">
        <v>16</v>
      </c>
      <c r="C594" s="55" t="s">
        <v>4260</v>
      </c>
      <c r="D594" s="55" t="s">
        <v>4261</v>
      </c>
      <c r="E594" s="55" t="s">
        <v>2469</v>
      </c>
      <c r="F594" s="55" t="s">
        <v>4262</v>
      </c>
      <c r="I594" s="55" t="s">
        <v>805</v>
      </c>
    </row>
    <row r="595" customFormat="false" ht="11.25" hidden="false" customHeight="true" outlineLevel="0" collapsed="false">
      <c r="A595" s="55" t="s">
        <v>2243</v>
      </c>
      <c r="B595" s="55" t="s">
        <v>16</v>
      </c>
      <c r="C595" s="55" t="s">
        <v>13</v>
      </c>
      <c r="D595" s="55" t="s">
        <v>45</v>
      </c>
      <c r="E595" s="55" t="s">
        <v>48</v>
      </c>
      <c r="F595" s="55" t="s">
        <v>50</v>
      </c>
      <c r="G595" s="55" t="s">
        <v>4263</v>
      </c>
      <c r="I595" s="55" t="s">
        <v>805</v>
      </c>
    </row>
    <row r="596" customFormat="false" ht="11.25" hidden="false" customHeight="true" outlineLevel="0" collapsed="false">
      <c r="A596" s="55" t="s">
        <v>2243</v>
      </c>
      <c r="B596" s="55" t="s">
        <v>16</v>
      </c>
      <c r="C596" s="55" t="s">
        <v>4264</v>
      </c>
      <c r="D596" s="55" t="s">
        <v>4265</v>
      </c>
      <c r="E596" s="55" t="s">
        <v>4266</v>
      </c>
      <c r="F596" s="55" t="s">
        <v>4267</v>
      </c>
      <c r="I596" s="55" t="s">
        <v>805</v>
      </c>
    </row>
    <row r="597" customFormat="false" ht="11.25" hidden="false" customHeight="true" outlineLevel="0" collapsed="false">
      <c r="A597" s="55" t="s">
        <v>2243</v>
      </c>
      <c r="B597" s="55" t="s">
        <v>16</v>
      </c>
      <c r="C597" s="55" t="s">
        <v>4268</v>
      </c>
      <c r="D597" s="55" t="s">
        <v>4269</v>
      </c>
      <c r="E597" s="55" t="s">
        <v>2364</v>
      </c>
      <c r="F597" s="55" t="s">
        <v>4270</v>
      </c>
      <c r="I597" s="55" t="s">
        <v>805</v>
      </c>
    </row>
    <row r="598" customFormat="false" ht="11.25" hidden="false" customHeight="true" outlineLevel="0" collapsed="false">
      <c r="A598" s="55" t="s">
        <v>2243</v>
      </c>
      <c r="B598" s="55" t="s">
        <v>16</v>
      </c>
      <c r="C598" s="55" t="s">
        <v>4271</v>
      </c>
      <c r="D598" s="55" t="s">
        <v>4272</v>
      </c>
      <c r="E598" s="55" t="s">
        <v>4273</v>
      </c>
      <c r="F598" s="55" t="s">
        <v>4274</v>
      </c>
      <c r="I598" s="55" t="s">
        <v>805</v>
      </c>
    </row>
    <row r="599" customFormat="false" ht="11.25" hidden="false" customHeight="true" outlineLevel="0" collapsed="false">
      <c r="A599" s="55" t="s">
        <v>2243</v>
      </c>
      <c r="B599" s="55" t="s">
        <v>16</v>
      </c>
      <c r="C599" s="55" t="s">
        <v>2244</v>
      </c>
      <c r="D599" s="55" t="s">
        <v>2245</v>
      </c>
      <c r="E599" s="55" t="s">
        <v>2246</v>
      </c>
      <c r="F599" s="55" t="s">
        <v>2247</v>
      </c>
      <c r="G599" s="55" t="s">
        <v>2248</v>
      </c>
      <c r="I599" s="55" t="s">
        <v>891</v>
      </c>
    </row>
    <row r="600" customFormat="false" ht="11.25" hidden="false" customHeight="true" outlineLevel="0" collapsed="false">
      <c r="A600" s="55" t="s">
        <v>2243</v>
      </c>
      <c r="B600" s="55" t="s">
        <v>16</v>
      </c>
      <c r="C600" s="55" t="s">
        <v>2253</v>
      </c>
      <c r="D600" s="55" t="s">
        <v>2254</v>
      </c>
      <c r="E600" s="55" t="s">
        <v>2255</v>
      </c>
      <c r="F600" s="55" t="s">
        <v>2256</v>
      </c>
      <c r="G600" s="55" t="s">
        <v>2257</v>
      </c>
      <c r="I600" s="55" t="s">
        <v>891</v>
      </c>
    </row>
    <row r="601" customFormat="false" ht="11.25" hidden="false" customHeight="true" outlineLevel="0" collapsed="false">
      <c r="A601" s="55" t="s">
        <v>2243</v>
      </c>
      <c r="B601" s="55" t="s">
        <v>16</v>
      </c>
      <c r="C601" s="55" t="s">
        <v>2262</v>
      </c>
      <c r="D601" s="55" t="s">
        <v>2263</v>
      </c>
      <c r="E601" s="55" t="s">
        <v>2264</v>
      </c>
      <c r="F601" s="55" t="s">
        <v>2265</v>
      </c>
      <c r="I601" s="55" t="s">
        <v>891</v>
      </c>
    </row>
    <row r="602" customFormat="false" ht="11.25" hidden="false" customHeight="true" outlineLevel="0" collapsed="false">
      <c r="A602" s="55" t="s">
        <v>2243</v>
      </c>
      <c r="B602" s="55" t="s">
        <v>16</v>
      </c>
      <c r="C602" s="55" t="s">
        <v>2288</v>
      </c>
      <c r="D602" s="55" t="s">
        <v>2289</v>
      </c>
      <c r="E602" s="55" t="s">
        <v>2290</v>
      </c>
      <c r="F602" s="55" t="s">
        <v>2291</v>
      </c>
      <c r="I602" s="55" t="s">
        <v>891</v>
      </c>
    </row>
    <row r="603" customFormat="false" ht="11.25" hidden="false" customHeight="true" outlineLevel="0" collapsed="false">
      <c r="A603" s="55" t="s">
        <v>2243</v>
      </c>
      <c r="B603" s="55" t="s">
        <v>16</v>
      </c>
      <c r="C603" s="55" t="s">
        <v>2299</v>
      </c>
      <c r="D603" s="55" t="s">
        <v>2300</v>
      </c>
      <c r="E603" s="55" t="s">
        <v>2297</v>
      </c>
      <c r="F603" s="55" t="s">
        <v>2301</v>
      </c>
      <c r="G603" s="55" t="s">
        <v>2302</v>
      </c>
      <c r="I603" s="55" t="s">
        <v>891</v>
      </c>
    </row>
    <row r="604" customFormat="false" ht="11.25" hidden="false" customHeight="true" outlineLevel="0" collapsed="false">
      <c r="A604" s="55" t="s">
        <v>2243</v>
      </c>
      <c r="B604" s="55" t="s">
        <v>16</v>
      </c>
      <c r="C604" s="55" t="s">
        <v>2303</v>
      </c>
      <c r="D604" s="55" t="s">
        <v>2304</v>
      </c>
      <c r="E604" s="55" t="s">
        <v>2305</v>
      </c>
      <c r="F604" s="55" t="s">
        <v>2261</v>
      </c>
      <c r="I604" s="55" t="s">
        <v>891</v>
      </c>
    </row>
    <row r="605" customFormat="false" ht="11.25" hidden="false" customHeight="true" outlineLevel="0" collapsed="false">
      <c r="A605" s="55" t="s">
        <v>2243</v>
      </c>
      <c r="B605" s="55" t="s">
        <v>16</v>
      </c>
      <c r="C605" s="55" t="s">
        <v>2306</v>
      </c>
      <c r="D605" s="55" t="s">
        <v>2307</v>
      </c>
      <c r="E605" s="55" t="s">
        <v>2308</v>
      </c>
      <c r="F605" s="55" t="s">
        <v>2309</v>
      </c>
      <c r="G605" s="55" t="s">
        <v>2310</v>
      </c>
      <c r="I605" s="55" t="s">
        <v>891</v>
      </c>
    </row>
    <row r="606" customFormat="false" ht="11.25" hidden="false" customHeight="true" outlineLevel="0" collapsed="false">
      <c r="A606" s="55" t="s">
        <v>2243</v>
      </c>
      <c r="B606" s="55" t="s">
        <v>16</v>
      </c>
      <c r="C606" s="55" t="s">
        <v>2323</v>
      </c>
      <c r="D606" s="55" t="s">
        <v>2324</v>
      </c>
      <c r="E606" s="55" t="s">
        <v>2325</v>
      </c>
      <c r="F606" s="55" t="s">
        <v>2291</v>
      </c>
      <c r="I606" s="55" t="s">
        <v>891</v>
      </c>
    </row>
    <row r="607" customFormat="false" ht="11.25" hidden="false" customHeight="true" outlineLevel="0" collapsed="false">
      <c r="A607" s="55" t="s">
        <v>2243</v>
      </c>
      <c r="B607" s="55" t="s">
        <v>16</v>
      </c>
      <c r="C607" s="55" t="s">
        <v>2362</v>
      </c>
      <c r="D607" s="55" t="s">
        <v>2363</v>
      </c>
      <c r="E607" s="55" t="s">
        <v>2364</v>
      </c>
      <c r="F607" s="55" t="s">
        <v>2283</v>
      </c>
      <c r="I607" s="55" t="s">
        <v>891</v>
      </c>
    </row>
    <row r="608" customFormat="false" ht="11.25" hidden="false" customHeight="true" outlineLevel="0" collapsed="false">
      <c r="A608" s="55" t="s">
        <v>2243</v>
      </c>
      <c r="B608" s="55" t="s">
        <v>16</v>
      </c>
      <c r="C608" s="55" t="s">
        <v>2368</v>
      </c>
      <c r="D608" s="55" t="s">
        <v>2369</v>
      </c>
      <c r="E608" s="55" t="s">
        <v>2370</v>
      </c>
      <c r="F608" s="55" t="s">
        <v>2371</v>
      </c>
      <c r="I608" s="55" t="s">
        <v>891</v>
      </c>
    </row>
    <row r="609" customFormat="false" ht="11.25" hidden="false" customHeight="true" outlineLevel="0" collapsed="false">
      <c r="A609" s="55" t="s">
        <v>2243</v>
      </c>
      <c r="B609" s="55" t="s">
        <v>16</v>
      </c>
      <c r="C609" s="55" t="s">
        <v>2376</v>
      </c>
      <c r="D609" s="55" t="s">
        <v>2377</v>
      </c>
      <c r="E609" s="55" t="s">
        <v>2378</v>
      </c>
      <c r="F609" s="55" t="s">
        <v>2318</v>
      </c>
      <c r="G609" s="55" t="s">
        <v>2379</v>
      </c>
      <c r="I609" s="55" t="s">
        <v>891</v>
      </c>
    </row>
    <row r="610" customFormat="false" ht="11.25" hidden="false" customHeight="true" outlineLevel="0" collapsed="false">
      <c r="A610" s="55" t="s">
        <v>2243</v>
      </c>
      <c r="B610" s="55" t="s">
        <v>16</v>
      </c>
      <c r="C610" s="55" t="s">
        <v>2380</v>
      </c>
      <c r="D610" s="55" t="s">
        <v>2381</v>
      </c>
      <c r="E610" s="55" t="s">
        <v>2260</v>
      </c>
      <c r="F610" s="55" t="s">
        <v>2382</v>
      </c>
      <c r="G610" s="55" t="s">
        <v>2383</v>
      </c>
      <c r="I610" s="55" t="s">
        <v>891</v>
      </c>
    </row>
    <row r="611" customFormat="false" ht="11.25" hidden="false" customHeight="true" outlineLevel="0" collapsed="false">
      <c r="A611" s="55" t="s">
        <v>2243</v>
      </c>
      <c r="B611" s="55" t="s">
        <v>16</v>
      </c>
      <c r="C611" s="55" t="s">
        <v>2389</v>
      </c>
      <c r="D611" s="55" t="s">
        <v>2390</v>
      </c>
      <c r="E611" s="55" t="s">
        <v>2391</v>
      </c>
      <c r="F611" s="55" t="s">
        <v>2387</v>
      </c>
      <c r="G611" s="55" t="s">
        <v>2392</v>
      </c>
      <c r="I611" s="55" t="s">
        <v>891</v>
      </c>
    </row>
    <row r="612" customFormat="false" ht="11.25" hidden="false" customHeight="true" outlineLevel="0" collapsed="false">
      <c r="A612" s="55" t="s">
        <v>2243</v>
      </c>
      <c r="B612" s="55" t="s">
        <v>16</v>
      </c>
      <c r="C612" s="55" t="s">
        <v>2410</v>
      </c>
      <c r="D612" s="55" t="s">
        <v>2411</v>
      </c>
      <c r="E612" s="55" t="s">
        <v>2412</v>
      </c>
      <c r="F612" s="55" t="s">
        <v>2371</v>
      </c>
      <c r="G612" s="55" t="s">
        <v>2413</v>
      </c>
      <c r="I612" s="55" t="s">
        <v>891</v>
      </c>
    </row>
    <row r="613" customFormat="false" ht="11.25" hidden="false" customHeight="true" outlineLevel="0" collapsed="false">
      <c r="A613" s="55" t="s">
        <v>2243</v>
      </c>
      <c r="B613" s="55" t="s">
        <v>16</v>
      </c>
      <c r="C613" s="55" t="s">
        <v>2414</v>
      </c>
      <c r="D613" s="55" t="s">
        <v>2415</v>
      </c>
      <c r="E613" s="55" t="s">
        <v>2412</v>
      </c>
      <c r="F613" s="55" t="s">
        <v>2416</v>
      </c>
      <c r="I613" s="55" t="s">
        <v>891</v>
      </c>
    </row>
    <row r="614" customFormat="false" ht="11.25" hidden="false" customHeight="true" outlineLevel="0" collapsed="false">
      <c r="A614" s="55" t="s">
        <v>2243</v>
      </c>
      <c r="B614" s="55" t="s">
        <v>16</v>
      </c>
      <c r="C614" s="55" t="s">
        <v>2417</v>
      </c>
      <c r="D614" s="55" t="s">
        <v>2418</v>
      </c>
      <c r="E614" s="55" t="s">
        <v>2412</v>
      </c>
      <c r="F614" s="55" t="s">
        <v>2419</v>
      </c>
      <c r="I614" s="55" t="s">
        <v>891</v>
      </c>
    </row>
    <row r="615" customFormat="false" ht="11.25" hidden="false" customHeight="true" outlineLevel="0" collapsed="false">
      <c r="A615" s="55" t="s">
        <v>2243</v>
      </c>
      <c r="B615" s="55" t="s">
        <v>16</v>
      </c>
      <c r="C615" s="55" t="s">
        <v>2423</v>
      </c>
      <c r="D615" s="55" t="s">
        <v>2424</v>
      </c>
      <c r="E615" s="55" t="s">
        <v>2412</v>
      </c>
      <c r="F615" s="55" t="s">
        <v>2425</v>
      </c>
      <c r="I615" s="55" t="s">
        <v>891</v>
      </c>
    </row>
    <row r="616" customFormat="false" ht="11.25" hidden="false" customHeight="true" outlineLevel="0" collapsed="false">
      <c r="A616" s="55" t="s">
        <v>2243</v>
      </c>
      <c r="B616" s="55" t="s">
        <v>16</v>
      </c>
      <c r="C616" s="55" t="s">
        <v>2432</v>
      </c>
      <c r="D616" s="55" t="s">
        <v>2433</v>
      </c>
      <c r="E616" s="55" t="s">
        <v>2412</v>
      </c>
      <c r="F616" s="55" t="s">
        <v>2434</v>
      </c>
      <c r="I616" s="55" t="s">
        <v>891</v>
      </c>
    </row>
    <row r="617" customFormat="false" ht="11.25" hidden="false" customHeight="true" outlineLevel="0" collapsed="false">
      <c r="A617" s="55" t="s">
        <v>2243</v>
      </c>
      <c r="B617" s="55" t="s">
        <v>16</v>
      </c>
      <c r="C617" s="55" t="s">
        <v>2438</v>
      </c>
      <c r="D617" s="55" t="s">
        <v>2439</v>
      </c>
      <c r="E617" s="55" t="s">
        <v>2412</v>
      </c>
      <c r="F617" s="55" t="s">
        <v>2440</v>
      </c>
      <c r="I617" s="55" t="s">
        <v>891</v>
      </c>
    </row>
    <row r="618" customFormat="false" ht="11.25" hidden="false" customHeight="true" outlineLevel="0" collapsed="false">
      <c r="A618" s="55" t="s">
        <v>2243</v>
      </c>
      <c r="B618" s="55" t="s">
        <v>16</v>
      </c>
      <c r="C618" s="55" t="s">
        <v>2450</v>
      </c>
      <c r="D618" s="55" t="s">
        <v>2451</v>
      </c>
      <c r="E618" s="55" t="s">
        <v>2412</v>
      </c>
      <c r="F618" s="55" t="s">
        <v>2452</v>
      </c>
      <c r="I618" s="55" t="s">
        <v>891</v>
      </c>
    </row>
    <row r="619" customFormat="false" ht="11.25" hidden="false" customHeight="true" outlineLevel="0" collapsed="false">
      <c r="A619" s="55" t="s">
        <v>2243</v>
      </c>
      <c r="B619" s="55" t="s">
        <v>16</v>
      </c>
      <c r="C619" s="55" t="s">
        <v>2457</v>
      </c>
      <c r="D619" s="55" t="s">
        <v>2458</v>
      </c>
      <c r="E619" s="55" t="s">
        <v>2459</v>
      </c>
      <c r="F619" s="55" t="s">
        <v>2247</v>
      </c>
      <c r="G619" s="55" t="s">
        <v>2334</v>
      </c>
      <c r="I619" s="55" t="s">
        <v>891</v>
      </c>
    </row>
    <row r="620" customFormat="false" ht="11.25" hidden="false" customHeight="true" outlineLevel="0" collapsed="false">
      <c r="A620" s="55" t="s">
        <v>2243</v>
      </c>
      <c r="B620" s="55" t="s">
        <v>16</v>
      </c>
      <c r="C620" s="55" t="s">
        <v>2460</v>
      </c>
      <c r="D620" s="55" t="s">
        <v>2461</v>
      </c>
      <c r="E620" s="55" t="s">
        <v>2462</v>
      </c>
      <c r="F620" s="55" t="s">
        <v>2247</v>
      </c>
      <c r="I620" s="55" t="s">
        <v>891</v>
      </c>
    </row>
    <row r="621" customFormat="false" ht="11.25" hidden="false" customHeight="true" outlineLevel="0" collapsed="false">
      <c r="A621" s="55" t="s">
        <v>2243</v>
      </c>
      <c r="B621" s="55" t="s">
        <v>16</v>
      </c>
      <c r="C621" s="55" t="s">
        <v>2463</v>
      </c>
      <c r="D621" s="55" t="s">
        <v>2464</v>
      </c>
      <c r="E621" s="55" t="s">
        <v>2465</v>
      </c>
      <c r="F621" s="55" t="s">
        <v>2309</v>
      </c>
      <c r="G621" s="55" t="s">
        <v>2466</v>
      </c>
      <c r="I621" s="55" t="s">
        <v>891</v>
      </c>
    </row>
    <row r="622" customFormat="false" ht="11.25" hidden="false" customHeight="true" outlineLevel="0" collapsed="false">
      <c r="A622" s="55" t="s">
        <v>2243</v>
      </c>
      <c r="B622" s="55" t="s">
        <v>16</v>
      </c>
      <c r="C622" s="55" t="s">
        <v>2467</v>
      </c>
      <c r="D622" s="55" t="s">
        <v>2468</v>
      </c>
      <c r="E622" s="55" t="s">
        <v>2469</v>
      </c>
      <c r="F622" s="55" t="s">
        <v>2470</v>
      </c>
      <c r="I622" s="55" t="s">
        <v>891</v>
      </c>
    </row>
    <row r="623" customFormat="false" ht="11.25" hidden="false" customHeight="true" outlineLevel="0" collapsed="false">
      <c r="A623" s="55" t="s">
        <v>2243</v>
      </c>
      <c r="B623" s="55" t="s">
        <v>16</v>
      </c>
      <c r="C623" s="55" t="s">
        <v>2476</v>
      </c>
      <c r="D623" s="55" t="s">
        <v>2477</v>
      </c>
      <c r="E623" s="55" t="s">
        <v>2469</v>
      </c>
      <c r="F623" s="55" t="s">
        <v>2478</v>
      </c>
      <c r="I623" s="55" t="s">
        <v>891</v>
      </c>
    </row>
    <row r="624" customFormat="false" ht="11.25" hidden="false" customHeight="true" outlineLevel="0" collapsed="false">
      <c r="A624" s="55" t="s">
        <v>2243</v>
      </c>
      <c r="B624" s="55" t="s">
        <v>16</v>
      </c>
      <c r="C624" s="55" t="s">
        <v>2482</v>
      </c>
      <c r="D624" s="55" t="s">
        <v>2483</v>
      </c>
      <c r="E624" s="55" t="s">
        <v>2469</v>
      </c>
      <c r="F624" s="55" t="s">
        <v>2484</v>
      </c>
      <c r="I624" s="55" t="s">
        <v>891</v>
      </c>
    </row>
    <row r="625" customFormat="false" ht="11.25" hidden="false" customHeight="true" outlineLevel="0" collapsed="false">
      <c r="A625" s="55" t="s">
        <v>2243</v>
      </c>
      <c r="B625" s="55" t="s">
        <v>16</v>
      </c>
      <c r="C625" s="55" t="s">
        <v>2488</v>
      </c>
      <c r="D625" s="55" t="s">
        <v>2489</v>
      </c>
      <c r="E625" s="55" t="s">
        <v>2469</v>
      </c>
      <c r="F625" s="55" t="s">
        <v>2490</v>
      </c>
      <c r="I625" s="55" t="s">
        <v>891</v>
      </c>
    </row>
    <row r="626" customFormat="false" ht="11.25" hidden="false" customHeight="true" outlineLevel="0" collapsed="false">
      <c r="A626" s="55" t="s">
        <v>2243</v>
      </c>
      <c r="B626" s="55" t="s">
        <v>16</v>
      </c>
      <c r="C626" s="55" t="s">
        <v>2494</v>
      </c>
      <c r="D626" s="55" t="s">
        <v>2495</v>
      </c>
      <c r="E626" s="55" t="s">
        <v>2469</v>
      </c>
      <c r="F626" s="55" t="s">
        <v>2496</v>
      </c>
      <c r="I626" s="55" t="s">
        <v>891</v>
      </c>
    </row>
    <row r="627" customFormat="false" ht="11.25" hidden="false" customHeight="true" outlineLevel="0" collapsed="false">
      <c r="A627" s="55" t="s">
        <v>2243</v>
      </c>
      <c r="B627" s="55" t="s">
        <v>16</v>
      </c>
      <c r="C627" s="55" t="s">
        <v>2497</v>
      </c>
      <c r="D627" s="55" t="s">
        <v>2498</v>
      </c>
      <c r="E627" s="55" t="s">
        <v>2469</v>
      </c>
      <c r="F627" s="55" t="s">
        <v>2499</v>
      </c>
      <c r="I627" s="55" t="s">
        <v>891</v>
      </c>
    </row>
    <row r="628" customFormat="false" ht="11.25" hidden="false" customHeight="true" outlineLevel="0" collapsed="false">
      <c r="A628" s="55" t="s">
        <v>2243</v>
      </c>
      <c r="B628" s="55" t="s">
        <v>16</v>
      </c>
      <c r="C628" s="55" t="s">
        <v>2500</v>
      </c>
      <c r="D628" s="55" t="s">
        <v>2501</v>
      </c>
      <c r="E628" s="55" t="s">
        <v>2469</v>
      </c>
      <c r="F628" s="55" t="s">
        <v>2502</v>
      </c>
      <c r="I628" s="55" t="s">
        <v>891</v>
      </c>
    </row>
    <row r="629" customFormat="false" ht="11.25" hidden="false" customHeight="true" outlineLevel="0" collapsed="false">
      <c r="A629" s="55" t="s">
        <v>2243</v>
      </c>
      <c r="B629" s="55" t="s">
        <v>16</v>
      </c>
      <c r="C629" s="55" t="s">
        <v>2503</v>
      </c>
      <c r="D629" s="55" t="s">
        <v>2504</v>
      </c>
      <c r="E629" s="55" t="s">
        <v>2469</v>
      </c>
      <c r="F629" s="55" t="s">
        <v>2505</v>
      </c>
      <c r="I629" s="55" t="s">
        <v>891</v>
      </c>
    </row>
    <row r="630" customFormat="false" ht="11.25" hidden="false" customHeight="true" outlineLevel="0" collapsed="false">
      <c r="A630" s="55" t="s">
        <v>2243</v>
      </c>
      <c r="B630" s="55" t="s">
        <v>16</v>
      </c>
      <c r="C630" s="55" t="s">
        <v>2506</v>
      </c>
      <c r="D630" s="55" t="s">
        <v>2507</v>
      </c>
      <c r="E630" s="55" t="s">
        <v>2469</v>
      </c>
      <c r="F630" s="55" t="s">
        <v>2508</v>
      </c>
      <c r="I630" s="55" t="s">
        <v>891</v>
      </c>
    </row>
    <row r="631" customFormat="false" ht="11.25" hidden="false" customHeight="true" outlineLevel="0" collapsed="false">
      <c r="A631" s="55" t="s">
        <v>2243</v>
      </c>
      <c r="B631" s="55" t="s">
        <v>16</v>
      </c>
      <c r="C631" s="55" t="s">
        <v>2509</v>
      </c>
      <c r="D631" s="55" t="s">
        <v>2510</v>
      </c>
      <c r="E631" s="55" t="s">
        <v>2469</v>
      </c>
      <c r="F631" s="55" t="s">
        <v>2511</v>
      </c>
      <c r="I631" s="55" t="s">
        <v>891</v>
      </c>
    </row>
    <row r="632" customFormat="false" ht="11.25" hidden="false" customHeight="true" outlineLevel="0" collapsed="false">
      <c r="A632" s="55" t="s">
        <v>2243</v>
      </c>
      <c r="B632" s="55" t="s">
        <v>16</v>
      </c>
      <c r="C632" s="55" t="s">
        <v>2512</v>
      </c>
      <c r="D632" s="55" t="s">
        <v>2513</v>
      </c>
      <c r="E632" s="55" t="s">
        <v>2469</v>
      </c>
      <c r="F632" s="55" t="s">
        <v>2514</v>
      </c>
      <c r="I632" s="55" t="s">
        <v>891</v>
      </c>
    </row>
    <row r="633" customFormat="false" ht="11.25" hidden="false" customHeight="true" outlineLevel="0" collapsed="false">
      <c r="A633" s="55" t="s">
        <v>2243</v>
      </c>
      <c r="B633" s="55" t="s">
        <v>16</v>
      </c>
      <c r="C633" s="55" t="s">
        <v>2515</v>
      </c>
      <c r="D633" s="55" t="s">
        <v>2516</v>
      </c>
      <c r="E633" s="55" t="s">
        <v>2469</v>
      </c>
      <c r="F633" s="55" t="s">
        <v>2517</v>
      </c>
      <c r="I633" s="55" t="s">
        <v>891</v>
      </c>
    </row>
    <row r="634" customFormat="false" ht="11.25" hidden="false" customHeight="true" outlineLevel="0" collapsed="false">
      <c r="A634" s="55" t="s">
        <v>2243</v>
      </c>
      <c r="B634" s="55" t="s">
        <v>16</v>
      </c>
      <c r="C634" s="55" t="s">
        <v>2518</v>
      </c>
      <c r="D634" s="55" t="s">
        <v>2519</v>
      </c>
      <c r="E634" s="55" t="s">
        <v>2305</v>
      </c>
      <c r="F634" s="55" t="s">
        <v>2520</v>
      </c>
      <c r="I634" s="55" t="s">
        <v>891</v>
      </c>
    </row>
    <row r="635" customFormat="false" ht="11.25" hidden="false" customHeight="true" outlineLevel="0" collapsed="false">
      <c r="A635" s="55" t="s">
        <v>2243</v>
      </c>
      <c r="B635" s="55" t="s">
        <v>16</v>
      </c>
      <c r="C635" s="55" t="s">
        <v>2521</v>
      </c>
      <c r="D635" s="55" t="s">
        <v>2522</v>
      </c>
      <c r="E635" s="55" t="s">
        <v>2523</v>
      </c>
      <c r="F635" s="55" t="s">
        <v>2524</v>
      </c>
      <c r="I635" s="55" t="s">
        <v>891</v>
      </c>
    </row>
    <row r="636" customFormat="false" ht="11.25" hidden="false" customHeight="true" outlineLevel="0" collapsed="false">
      <c r="A636" s="55" t="s">
        <v>2243</v>
      </c>
      <c r="B636" s="55" t="s">
        <v>16</v>
      </c>
      <c r="C636" s="55" t="s">
        <v>2525</v>
      </c>
      <c r="D636" s="55" t="s">
        <v>2526</v>
      </c>
      <c r="E636" s="55" t="s">
        <v>2527</v>
      </c>
      <c r="F636" s="55" t="s">
        <v>2528</v>
      </c>
      <c r="I636" s="55" t="s">
        <v>891</v>
      </c>
    </row>
    <row r="637" customFormat="false" ht="11.25" hidden="false" customHeight="true" outlineLevel="0" collapsed="false">
      <c r="A637" s="55" t="s">
        <v>2243</v>
      </c>
      <c r="B637" s="55" t="s">
        <v>16</v>
      </c>
      <c r="C637" s="55" t="s">
        <v>2529</v>
      </c>
      <c r="D637" s="55" t="s">
        <v>2530</v>
      </c>
      <c r="E637" s="55" t="s">
        <v>2531</v>
      </c>
      <c r="F637" s="55" t="s">
        <v>2291</v>
      </c>
      <c r="I637" s="55" t="s">
        <v>891</v>
      </c>
    </row>
    <row r="638" customFormat="false" ht="11.25" hidden="false" customHeight="true" outlineLevel="0" collapsed="false">
      <c r="A638" s="55" t="s">
        <v>2243</v>
      </c>
      <c r="B638" s="55" t="s">
        <v>16</v>
      </c>
      <c r="C638" s="55" t="s">
        <v>2535</v>
      </c>
      <c r="D638" s="55" t="s">
        <v>2536</v>
      </c>
      <c r="E638" s="55" t="s">
        <v>2537</v>
      </c>
      <c r="F638" s="55" t="s">
        <v>2371</v>
      </c>
      <c r="I638" s="55" t="s">
        <v>891</v>
      </c>
    </row>
    <row r="639" customFormat="false" ht="11.25" hidden="false" customHeight="true" outlineLevel="0" collapsed="false">
      <c r="A639" s="55" t="s">
        <v>2243</v>
      </c>
      <c r="B639" s="55" t="s">
        <v>16</v>
      </c>
      <c r="C639" s="55" t="s">
        <v>2538</v>
      </c>
      <c r="D639" s="55" t="s">
        <v>2539</v>
      </c>
      <c r="E639" s="55" t="s">
        <v>2540</v>
      </c>
      <c r="F639" s="55" t="s">
        <v>2318</v>
      </c>
      <c r="I639" s="55" t="s">
        <v>891</v>
      </c>
    </row>
    <row r="640" customFormat="false" ht="11.25" hidden="false" customHeight="true" outlineLevel="0" collapsed="false">
      <c r="A640" s="55" t="s">
        <v>2243</v>
      </c>
      <c r="B640" s="55" t="s">
        <v>16</v>
      </c>
      <c r="C640" s="55" t="s">
        <v>2545</v>
      </c>
      <c r="D640" s="55" t="s">
        <v>2546</v>
      </c>
      <c r="E640" s="55" t="s">
        <v>2547</v>
      </c>
      <c r="F640" s="55" t="s">
        <v>2318</v>
      </c>
      <c r="G640" s="55" t="s">
        <v>2548</v>
      </c>
      <c r="I640" s="55" t="s">
        <v>891</v>
      </c>
    </row>
    <row r="641" customFormat="false" ht="11.25" hidden="false" customHeight="true" outlineLevel="0" collapsed="false">
      <c r="A641" s="55" t="s">
        <v>2243</v>
      </c>
      <c r="B641" s="55" t="s">
        <v>16</v>
      </c>
      <c r="C641" s="55" t="s">
        <v>2559</v>
      </c>
      <c r="D641" s="55" t="s">
        <v>2560</v>
      </c>
      <c r="E641" s="55" t="s">
        <v>2561</v>
      </c>
      <c r="F641" s="55" t="s">
        <v>2558</v>
      </c>
      <c r="G641" s="55" t="s">
        <v>2562</v>
      </c>
      <c r="I641" s="55" t="s">
        <v>891</v>
      </c>
    </row>
    <row r="642" customFormat="false" ht="11.25" hidden="false" customHeight="true" outlineLevel="0" collapsed="false">
      <c r="A642" s="55" t="s">
        <v>2243</v>
      </c>
      <c r="B642" s="55" t="s">
        <v>16</v>
      </c>
      <c r="C642" s="55" t="s">
        <v>2568</v>
      </c>
      <c r="D642" s="55" t="s">
        <v>2569</v>
      </c>
      <c r="E642" s="55" t="s">
        <v>2570</v>
      </c>
      <c r="F642" s="55" t="s">
        <v>2318</v>
      </c>
      <c r="G642" s="55" t="s">
        <v>2571</v>
      </c>
      <c r="I642" s="55" t="s">
        <v>891</v>
      </c>
    </row>
    <row r="643" customFormat="false" ht="11.25" hidden="false" customHeight="true" outlineLevel="0" collapsed="false">
      <c r="A643" s="55" t="s">
        <v>2243</v>
      </c>
      <c r="B643" s="55" t="s">
        <v>16</v>
      </c>
      <c r="C643" s="55" t="s">
        <v>2572</v>
      </c>
      <c r="D643" s="55" t="s">
        <v>2573</v>
      </c>
      <c r="E643" s="55" t="s">
        <v>2574</v>
      </c>
      <c r="F643" s="55" t="s">
        <v>2329</v>
      </c>
      <c r="G643" s="55" t="s">
        <v>2575</v>
      </c>
      <c r="I643" s="55" t="s">
        <v>891</v>
      </c>
    </row>
    <row r="644" customFormat="false" ht="11.25" hidden="false" customHeight="true" outlineLevel="0" collapsed="false">
      <c r="A644" s="55" t="s">
        <v>2243</v>
      </c>
      <c r="B644" s="55" t="s">
        <v>16</v>
      </c>
      <c r="C644" s="55" t="s">
        <v>2579</v>
      </c>
      <c r="D644" s="55" t="s">
        <v>2580</v>
      </c>
      <c r="E644" s="55" t="s">
        <v>2581</v>
      </c>
      <c r="F644" s="55" t="s">
        <v>2329</v>
      </c>
      <c r="I644" s="55" t="s">
        <v>891</v>
      </c>
    </row>
    <row r="645" customFormat="false" ht="11.25" hidden="false" customHeight="true" outlineLevel="0" collapsed="false">
      <c r="A645" s="55" t="s">
        <v>2243</v>
      </c>
      <c r="B645" s="55" t="s">
        <v>16</v>
      </c>
      <c r="C645" s="55" t="s">
        <v>2582</v>
      </c>
      <c r="D645" s="55" t="s">
        <v>2583</v>
      </c>
      <c r="E645" s="55" t="s">
        <v>2584</v>
      </c>
      <c r="F645" s="55" t="s">
        <v>2291</v>
      </c>
      <c r="I645" s="55" t="s">
        <v>891</v>
      </c>
    </row>
    <row r="646" customFormat="false" ht="11.25" hidden="false" customHeight="true" outlineLevel="0" collapsed="false">
      <c r="A646" s="55" t="s">
        <v>2243</v>
      </c>
      <c r="B646" s="55" t="s">
        <v>16</v>
      </c>
      <c r="C646" s="55" t="s">
        <v>2592</v>
      </c>
      <c r="D646" s="55" t="s">
        <v>2593</v>
      </c>
      <c r="E646" s="55" t="s">
        <v>2594</v>
      </c>
      <c r="F646" s="55" t="s">
        <v>2314</v>
      </c>
      <c r="I646" s="55" t="s">
        <v>891</v>
      </c>
    </row>
    <row r="647" customFormat="false" ht="11.25" hidden="false" customHeight="true" outlineLevel="0" collapsed="false">
      <c r="A647" s="55" t="s">
        <v>2243</v>
      </c>
      <c r="B647" s="55" t="s">
        <v>16</v>
      </c>
      <c r="C647" s="55" t="s">
        <v>2604</v>
      </c>
      <c r="D647" s="55" t="s">
        <v>2605</v>
      </c>
      <c r="E647" s="55" t="s">
        <v>2606</v>
      </c>
      <c r="F647" s="55" t="s">
        <v>2314</v>
      </c>
      <c r="I647" s="55" t="s">
        <v>891</v>
      </c>
    </row>
    <row r="648" customFormat="false" ht="11.25" hidden="false" customHeight="true" outlineLevel="0" collapsed="false">
      <c r="A648" s="55" t="s">
        <v>2243</v>
      </c>
      <c r="B648" s="55" t="s">
        <v>16</v>
      </c>
      <c r="C648" s="55" t="s">
        <v>2607</v>
      </c>
      <c r="D648" s="55" t="s">
        <v>2608</v>
      </c>
      <c r="E648" s="55" t="s">
        <v>2609</v>
      </c>
      <c r="F648" s="55" t="s">
        <v>2610</v>
      </c>
      <c r="G648" s="55" t="s">
        <v>2611</v>
      </c>
      <c r="I648" s="55" t="s">
        <v>891</v>
      </c>
    </row>
    <row r="649" customFormat="false" ht="11.25" hidden="false" customHeight="true" outlineLevel="0" collapsed="false">
      <c r="A649" s="55" t="s">
        <v>2243</v>
      </c>
      <c r="B649" s="55" t="s">
        <v>16</v>
      </c>
      <c r="C649" s="55" t="s">
        <v>2612</v>
      </c>
      <c r="D649" s="55" t="s">
        <v>2613</v>
      </c>
      <c r="E649" s="55" t="s">
        <v>2614</v>
      </c>
      <c r="F649" s="55" t="s">
        <v>2314</v>
      </c>
      <c r="I649" s="55" t="s">
        <v>891</v>
      </c>
    </row>
    <row r="650" customFormat="false" ht="11.25" hidden="false" customHeight="true" outlineLevel="0" collapsed="false">
      <c r="A650" s="55" t="s">
        <v>2243</v>
      </c>
      <c r="B650" s="55" t="s">
        <v>16</v>
      </c>
      <c r="C650" s="55" t="s">
        <v>2619</v>
      </c>
      <c r="D650" s="55" t="s">
        <v>2620</v>
      </c>
      <c r="E650" s="55" t="s">
        <v>2617</v>
      </c>
      <c r="F650" s="55" t="s">
        <v>2329</v>
      </c>
      <c r="G650" s="55" t="s">
        <v>2466</v>
      </c>
      <c r="I650" s="55" t="s">
        <v>891</v>
      </c>
    </row>
    <row r="651" customFormat="false" ht="11.25" hidden="false" customHeight="true" outlineLevel="0" collapsed="false">
      <c r="A651" s="55" t="s">
        <v>2243</v>
      </c>
      <c r="B651" s="55" t="s">
        <v>16</v>
      </c>
      <c r="C651" s="55" t="s">
        <v>2625</v>
      </c>
      <c r="D651" s="55" t="s">
        <v>2626</v>
      </c>
      <c r="E651" s="55" t="s">
        <v>2627</v>
      </c>
      <c r="F651" s="55" t="s">
        <v>2283</v>
      </c>
      <c r="G651" s="55" t="s">
        <v>2628</v>
      </c>
      <c r="I651" s="55" t="s">
        <v>891</v>
      </c>
    </row>
    <row r="652" customFormat="false" ht="11.25" hidden="false" customHeight="true" outlineLevel="0" collapsed="false">
      <c r="A652" s="55" t="s">
        <v>2243</v>
      </c>
      <c r="B652" s="55" t="s">
        <v>16</v>
      </c>
      <c r="C652" s="55" t="s">
        <v>2629</v>
      </c>
      <c r="D652" s="55" t="s">
        <v>2630</v>
      </c>
      <c r="E652" s="55" t="s">
        <v>2631</v>
      </c>
      <c r="F652" s="55" t="s">
        <v>2291</v>
      </c>
      <c r="I652" s="55" t="s">
        <v>891</v>
      </c>
    </row>
    <row r="653" customFormat="false" ht="11.25" hidden="false" customHeight="true" outlineLevel="0" collapsed="false">
      <c r="A653" s="55" t="s">
        <v>2243</v>
      </c>
      <c r="B653" s="55" t="s">
        <v>16</v>
      </c>
      <c r="C653" s="55" t="s">
        <v>2635</v>
      </c>
      <c r="D653" s="55" t="s">
        <v>2636</v>
      </c>
      <c r="E653" s="55" t="s">
        <v>2637</v>
      </c>
      <c r="F653" s="55" t="s">
        <v>2470</v>
      </c>
      <c r="G653" s="55" t="s">
        <v>2638</v>
      </c>
      <c r="I653" s="55" t="s">
        <v>891</v>
      </c>
    </row>
    <row r="654" customFormat="false" ht="11.25" hidden="false" customHeight="true" outlineLevel="0" collapsed="false">
      <c r="A654" s="55" t="s">
        <v>2243</v>
      </c>
      <c r="B654" s="55" t="s">
        <v>16</v>
      </c>
      <c r="C654" s="55" t="s">
        <v>2639</v>
      </c>
      <c r="D654" s="55" t="s">
        <v>2640</v>
      </c>
      <c r="E654" s="55" t="s">
        <v>2641</v>
      </c>
      <c r="F654" s="55" t="s">
        <v>2642</v>
      </c>
      <c r="G654" s="55" t="s">
        <v>2643</v>
      </c>
      <c r="I654" s="55" t="s">
        <v>891</v>
      </c>
    </row>
    <row r="655" customFormat="false" ht="11.25" hidden="false" customHeight="true" outlineLevel="0" collapsed="false">
      <c r="A655" s="55" t="s">
        <v>2243</v>
      </c>
      <c r="B655" s="55" t="s">
        <v>16</v>
      </c>
      <c r="C655" s="55" t="s">
        <v>2666</v>
      </c>
      <c r="D655" s="55" t="s">
        <v>2667</v>
      </c>
      <c r="E655" s="55" t="s">
        <v>2668</v>
      </c>
      <c r="F655" s="55" t="s">
        <v>2329</v>
      </c>
      <c r="I655" s="55" t="s">
        <v>891</v>
      </c>
    </row>
    <row r="656" customFormat="false" ht="11.25" hidden="false" customHeight="true" outlineLevel="0" collapsed="false">
      <c r="A656" s="55" t="s">
        <v>2243</v>
      </c>
      <c r="B656" s="55" t="s">
        <v>16</v>
      </c>
      <c r="C656" s="55" t="s">
        <v>2676</v>
      </c>
      <c r="D656" s="55" t="s">
        <v>2677</v>
      </c>
      <c r="E656" s="55" t="s">
        <v>2678</v>
      </c>
      <c r="F656" s="55" t="s">
        <v>2672</v>
      </c>
      <c r="I656" s="55" t="s">
        <v>891</v>
      </c>
    </row>
    <row r="657" customFormat="false" ht="11.25" hidden="false" customHeight="true" outlineLevel="0" collapsed="false">
      <c r="A657" s="55" t="s">
        <v>2243</v>
      </c>
      <c r="B657" s="55" t="s">
        <v>16</v>
      </c>
      <c r="C657" s="55" t="s">
        <v>2682</v>
      </c>
      <c r="D657" s="55" t="s">
        <v>2683</v>
      </c>
      <c r="E657" s="55" t="s">
        <v>2684</v>
      </c>
      <c r="F657" s="55" t="s">
        <v>2318</v>
      </c>
      <c r="I657" s="55" t="s">
        <v>891</v>
      </c>
    </row>
    <row r="658" customFormat="false" ht="11.25" hidden="false" customHeight="true" outlineLevel="0" collapsed="false">
      <c r="A658" s="55" t="s">
        <v>2243</v>
      </c>
      <c r="B658" s="55" t="s">
        <v>16</v>
      </c>
      <c r="C658" s="55" t="s">
        <v>2685</v>
      </c>
      <c r="D658" s="55" t="s">
        <v>2686</v>
      </c>
      <c r="E658" s="55" t="s">
        <v>2687</v>
      </c>
      <c r="F658" s="55" t="s">
        <v>2247</v>
      </c>
      <c r="G658" s="55" t="s">
        <v>2688</v>
      </c>
      <c r="I658" s="55" t="s">
        <v>891</v>
      </c>
    </row>
    <row r="659" customFormat="false" ht="11.25" hidden="false" customHeight="true" outlineLevel="0" collapsed="false">
      <c r="A659" s="55" t="s">
        <v>2243</v>
      </c>
      <c r="B659" s="55" t="s">
        <v>16</v>
      </c>
      <c r="C659" s="55" t="s">
        <v>2696</v>
      </c>
      <c r="D659" s="55" t="s">
        <v>2697</v>
      </c>
      <c r="E659" s="55" t="s">
        <v>2698</v>
      </c>
      <c r="F659" s="55" t="s">
        <v>2274</v>
      </c>
      <c r="I659" s="55" t="s">
        <v>891</v>
      </c>
    </row>
    <row r="660" customFormat="false" ht="11.25" hidden="false" customHeight="true" outlineLevel="0" collapsed="false">
      <c r="A660" s="55" t="s">
        <v>2243</v>
      </c>
      <c r="B660" s="55" t="s">
        <v>16</v>
      </c>
      <c r="C660" s="55" t="s">
        <v>2724</v>
      </c>
      <c r="D660" s="55" t="s">
        <v>2725</v>
      </c>
      <c r="E660" s="55" t="s">
        <v>2726</v>
      </c>
      <c r="F660" s="55" t="s">
        <v>2329</v>
      </c>
      <c r="I660" s="55" t="s">
        <v>891</v>
      </c>
    </row>
    <row r="661" customFormat="false" ht="11.25" hidden="false" customHeight="true" outlineLevel="0" collapsed="false">
      <c r="A661" s="55" t="s">
        <v>2243</v>
      </c>
      <c r="B661" s="55" t="s">
        <v>16</v>
      </c>
      <c r="C661" s="55" t="s">
        <v>2750</v>
      </c>
      <c r="D661" s="55" t="s">
        <v>2751</v>
      </c>
      <c r="E661" s="55" t="s">
        <v>2752</v>
      </c>
      <c r="F661" s="55" t="s">
        <v>2291</v>
      </c>
      <c r="G661" s="55" t="s">
        <v>2753</v>
      </c>
      <c r="I661" s="55" t="s">
        <v>891</v>
      </c>
    </row>
    <row r="662" customFormat="false" ht="11.25" hidden="false" customHeight="true" outlineLevel="0" collapsed="false">
      <c r="A662" s="55" t="s">
        <v>2243</v>
      </c>
      <c r="B662" s="55" t="s">
        <v>16</v>
      </c>
      <c r="C662" s="55" t="s">
        <v>2761</v>
      </c>
      <c r="D662" s="55" t="s">
        <v>2762</v>
      </c>
      <c r="E662" s="55" t="s">
        <v>2763</v>
      </c>
      <c r="F662" s="55" t="s">
        <v>2371</v>
      </c>
      <c r="G662" s="55" t="s">
        <v>2764</v>
      </c>
      <c r="I662" s="55" t="s">
        <v>891</v>
      </c>
    </row>
    <row r="663" customFormat="false" ht="11.25" hidden="false" customHeight="true" outlineLevel="0" collapsed="false">
      <c r="A663" s="55" t="s">
        <v>2243</v>
      </c>
      <c r="B663" s="55" t="s">
        <v>16</v>
      </c>
      <c r="C663" s="55" t="s">
        <v>2774</v>
      </c>
      <c r="D663" s="55" t="s">
        <v>2775</v>
      </c>
      <c r="E663" s="55" t="s">
        <v>2776</v>
      </c>
      <c r="F663" s="55" t="s">
        <v>572</v>
      </c>
      <c r="I663" s="55" t="s">
        <v>891</v>
      </c>
    </row>
    <row r="664" customFormat="false" ht="11.25" hidden="false" customHeight="true" outlineLevel="0" collapsed="false">
      <c r="A664" s="55" t="s">
        <v>2243</v>
      </c>
      <c r="B664" s="55" t="s">
        <v>16</v>
      </c>
      <c r="C664" s="55" t="s">
        <v>2789</v>
      </c>
      <c r="D664" s="55" t="s">
        <v>2790</v>
      </c>
      <c r="E664" s="55" t="s">
        <v>2791</v>
      </c>
      <c r="F664" s="55" t="s">
        <v>572</v>
      </c>
      <c r="I664" s="55" t="s">
        <v>891</v>
      </c>
    </row>
    <row r="665" customFormat="false" ht="11.25" hidden="false" customHeight="true" outlineLevel="0" collapsed="false">
      <c r="A665" s="55" t="s">
        <v>2243</v>
      </c>
      <c r="B665" s="55" t="s">
        <v>16</v>
      </c>
      <c r="C665" s="55" t="s">
        <v>2831</v>
      </c>
      <c r="D665" s="55" t="s">
        <v>2832</v>
      </c>
      <c r="E665" s="55" t="s">
        <v>2833</v>
      </c>
      <c r="F665" s="55" t="s">
        <v>2283</v>
      </c>
      <c r="I665" s="55" t="s">
        <v>891</v>
      </c>
    </row>
    <row r="666" customFormat="false" ht="11.25" hidden="false" customHeight="true" outlineLevel="0" collapsed="false">
      <c r="A666" s="55" t="s">
        <v>2243</v>
      </c>
      <c r="B666" s="55" t="s">
        <v>16</v>
      </c>
      <c r="C666" s="55" t="s">
        <v>2834</v>
      </c>
      <c r="D666" s="55" t="s">
        <v>2835</v>
      </c>
      <c r="E666" s="55" t="s">
        <v>2836</v>
      </c>
      <c r="F666" s="55" t="s">
        <v>2347</v>
      </c>
      <c r="I666" s="55" t="s">
        <v>891</v>
      </c>
    </row>
    <row r="667" customFormat="false" ht="11.25" hidden="false" customHeight="true" outlineLevel="0" collapsed="false">
      <c r="A667" s="55" t="s">
        <v>2243</v>
      </c>
      <c r="B667" s="55" t="s">
        <v>16</v>
      </c>
      <c r="C667" s="55" t="s">
        <v>2840</v>
      </c>
      <c r="D667" s="55" t="s">
        <v>2841</v>
      </c>
      <c r="E667" s="55" t="s">
        <v>2842</v>
      </c>
      <c r="F667" s="55" t="s">
        <v>2283</v>
      </c>
      <c r="I667" s="55" t="s">
        <v>891</v>
      </c>
    </row>
    <row r="668" customFormat="false" ht="11.25" hidden="false" customHeight="true" outlineLevel="0" collapsed="false">
      <c r="A668" s="55" t="s">
        <v>2243</v>
      </c>
      <c r="B668" s="55" t="s">
        <v>16</v>
      </c>
      <c r="C668" s="55" t="s">
        <v>2843</v>
      </c>
      <c r="D668" s="55" t="s">
        <v>2844</v>
      </c>
      <c r="E668" s="55" t="s">
        <v>2845</v>
      </c>
      <c r="F668" s="55" t="s">
        <v>2283</v>
      </c>
      <c r="I668" s="55" t="s">
        <v>891</v>
      </c>
    </row>
    <row r="669" customFormat="false" ht="11.25" hidden="false" customHeight="true" outlineLevel="0" collapsed="false">
      <c r="A669" s="55" t="s">
        <v>2243</v>
      </c>
      <c r="B669" s="55" t="s">
        <v>16</v>
      </c>
      <c r="C669" s="55" t="s">
        <v>2846</v>
      </c>
      <c r="D669" s="55" t="s">
        <v>2847</v>
      </c>
      <c r="E669" s="55" t="s">
        <v>2848</v>
      </c>
      <c r="F669" s="55" t="s">
        <v>2333</v>
      </c>
      <c r="I669" s="55" t="s">
        <v>891</v>
      </c>
    </row>
    <row r="670" customFormat="false" ht="11.25" hidden="false" customHeight="true" outlineLevel="0" collapsed="false">
      <c r="A670" s="55" t="s">
        <v>2243</v>
      </c>
      <c r="B670" s="55" t="s">
        <v>16</v>
      </c>
      <c r="C670" s="55" t="s">
        <v>2849</v>
      </c>
      <c r="D670" s="55" t="s">
        <v>2850</v>
      </c>
      <c r="E670" s="55" t="s">
        <v>2851</v>
      </c>
      <c r="F670" s="55" t="s">
        <v>2342</v>
      </c>
      <c r="I670" s="55" t="s">
        <v>891</v>
      </c>
    </row>
    <row r="671" customFormat="false" ht="11.25" hidden="false" customHeight="true" outlineLevel="0" collapsed="false">
      <c r="A671" s="55" t="s">
        <v>2243</v>
      </c>
      <c r="B671" s="55" t="s">
        <v>16</v>
      </c>
      <c r="C671" s="55" t="s">
        <v>2858</v>
      </c>
      <c r="D671" s="55" t="s">
        <v>2859</v>
      </c>
      <c r="E671" s="55" t="s">
        <v>2860</v>
      </c>
      <c r="F671" s="55" t="s">
        <v>2566</v>
      </c>
      <c r="I671" s="55" t="s">
        <v>891</v>
      </c>
    </row>
    <row r="672" customFormat="false" ht="11.25" hidden="false" customHeight="true" outlineLevel="0" collapsed="false">
      <c r="A672" s="55" t="s">
        <v>2243</v>
      </c>
      <c r="B672" s="55" t="s">
        <v>16</v>
      </c>
      <c r="C672" s="55" t="s">
        <v>2861</v>
      </c>
      <c r="D672" s="55" t="s">
        <v>2862</v>
      </c>
      <c r="E672" s="55" t="s">
        <v>2863</v>
      </c>
      <c r="F672" s="55" t="s">
        <v>2333</v>
      </c>
      <c r="I672" s="55" t="s">
        <v>891</v>
      </c>
    </row>
    <row r="673" customFormat="false" ht="11.25" hidden="false" customHeight="true" outlineLevel="0" collapsed="false">
      <c r="A673" s="55" t="s">
        <v>2243</v>
      </c>
      <c r="B673" s="55" t="s">
        <v>16</v>
      </c>
      <c r="C673" s="55" t="s">
        <v>2864</v>
      </c>
      <c r="D673" s="55" t="s">
        <v>2865</v>
      </c>
      <c r="E673" s="55" t="s">
        <v>2866</v>
      </c>
      <c r="F673" s="55" t="s">
        <v>2347</v>
      </c>
      <c r="I673" s="55" t="s">
        <v>891</v>
      </c>
    </row>
    <row r="674" customFormat="false" ht="11.25" hidden="false" customHeight="true" outlineLevel="0" collapsed="false">
      <c r="A674" s="55" t="s">
        <v>2243</v>
      </c>
      <c r="B674" s="55" t="s">
        <v>16</v>
      </c>
      <c r="C674" s="55" t="s">
        <v>2867</v>
      </c>
      <c r="D674" s="55" t="s">
        <v>2868</v>
      </c>
      <c r="E674" s="55" t="s">
        <v>2869</v>
      </c>
      <c r="F674" s="55" t="s">
        <v>2716</v>
      </c>
      <c r="G674" s="55" t="s">
        <v>2870</v>
      </c>
      <c r="I674" s="55" t="s">
        <v>891</v>
      </c>
    </row>
    <row r="675" customFormat="false" ht="11.25" hidden="false" customHeight="true" outlineLevel="0" collapsed="false">
      <c r="A675" s="55" t="s">
        <v>2243</v>
      </c>
      <c r="B675" s="55" t="s">
        <v>16</v>
      </c>
      <c r="C675" s="55" t="s">
        <v>2874</v>
      </c>
      <c r="D675" s="55" t="s">
        <v>2875</v>
      </c>
      <c r="E675" s="55" t="s">
        <v>2876</v>
      </c>
      <c r="F675" s="55" t="s">
        <v>2558</v>
      </c>
      <c r="I675" s="55" t="s">
        <v>891</v>
      </c>
    </row>
    <row r="676" customFormat="false" ht="11.25" hidden="false" customHeight="true" outlineLevel="0" collapsed="false">
      <c r="A676" s="55" t="s">
        <v>2243</v>
      </c>
      <c r="B676" s="55" t="s">
        <v>16</v>
      </c>
      <c r="C676" s="55" t="s">
        <v>2877</v>
      </c>
      <c r="D676" s="55" t="s">
        <v>2878</v>
      </c>
      <c r="E676" s="55" t="s">
        <v>2879</v>
      </c>
      <c r="F676" s="55" t="s">
        <v>2283</v>
      </c>
      <c r="I676" s="55" t="s">
        <v>891</v>
      </c>
    </row>
    <row r="677" customFormat="false" ht="11.25" hidden="false" customHeight="true" outlineLevel="0" collapsed="false">
      <c r="A677" s="55" t="s">
        <v>2243</v>
      </c>
      <c r="B677" s="55" t="s">
        <v>16</v>
      </c>
      <c r="C677" s="55" t="s">
        <v>2880</v>
      </c>
      <c r="D677" s="55" t="s">
        <v>2881</v>
      </c>
      <c r="E677" s="55" t="s">
        <v>2882</v>
      </c>
      <c r="F677" s="55" t="s">
        <v>2274</v>
      </c>
      <c r="I677" s="55" t="s">
        <v>891</v>
      </c>
    </row>
    <row r="678" customFormat="false" ht="11.25" hidden="false" customHeight="true" outlineLevel="0" collapsed="false">
      <c r="A678" s="55" t="s">
        <v>2243</v>
      </c>
      <c r="B678" s="55" t="s">
        <v>16</v>
      </c>
      <c r="C678" s="55" t="s">
        <v>2927</v>
      </c>
      <c r="D678" s="55" t="s">
        <v>2928</v>
      </c>
      <c r="E678" s="55" t="s">
        <v>2929</v>
      </c>
      <c r="F678" s="55" t="s">
        <v>2333</v>
      </c>
      <c r="G678" s="55" t="s">
        <v>2930</v>
      </c>
      <c r="I678" s="55" t="s">
        <v>891</v>
      </c>
    </row>
    <row r="679" customFormat="false" ht="11.25" hidden="false" customHeight="true" outlineLevel="0" collapsed="false">
      <c r="A679" s="55" t="s">
        <v>2243</v>
      </c>
      <c r="B679" s="55" t="s">
        <v>16</v>
      </c>
      <c r="C679" s="55" t="s">
        <v>2931</v>
      </c>
      <c r="D679" s="55" t="s">
        <v>2932</v>
      </c>
      <c r="E679" s="55" t="s">
        <v>2933</v>
      </c>
      <c r="F679" s="55" t="s">
        <v>2333</v>
      </c>
      <c r="I679" s="55" t="s">
        <v>891</v>
      </c>
    </row>
    <row r="680" customFormat="false" ht="11.25" hidden="false" customHeight="true" outlineLevel="0" collapsed="false">
      <c r="A680" s="55" t="s">
        <v>2243</v>
      </c>
      <c r="B680" s="55" t="s">
        <v>16</v>
      </c>
      <c r="C680" s="55" t="s">
        <v>2934</v>
      </c>
      <c r="D680" s="55" t="s">
        <v>2935</v>
      </c>
      <c r="E680" s="55" t="s">
        <v>2936</v>
      </c>
      <c r="F680" s="55" t="s">
        <v>2247</v>
      </c>
      <c r="G680" s="55" t="s">
        <v>2937</v>
      </c>
      <c r="I680" s="55" t="s">
        <v>891</v>
      </c>
    </row>
    <row r="681" customFormat="false" ht="11.25" hidden="false" customHeight="true" outlineLevel="0" collapsed="false">
      <c r="A681" s="55" t="s">
        <v>2243</v>
      </c>
      <c r="B681" s="55" t="s">
        <v>16</v>
      </c>
      <c r="C681" s="55" t="s">
        <v>2938</v>
      </c>
      <c r="D681" s="55" t="s">
        <v>2939</v>
      </c>
      <c r="E681" s="55" t="s">
        <v>2940</v>
      </c>
      <c r="F681" s="55" t="s">
        <v>2566</v>
      </c>
      <c r="I681" s="55" t="s">
        <v>891</v>
      </c>
    </row>
    <row r="682" customFormat="false" ht="11.25" hidden="false" customHeight="true" outlineLevel="0" collapsed="false">
      <c r="A682" s="55" t="s">
        <v>2243</v>
      </c>
      <c r="B682" s="55" t="s">
        <v>16</v>
      </c>
      <c r="C682" s="55" t="s">
        <v>2941</v>
      </c>
      <c r="D682" s="55" t="s">
        <v>2942</v>
      </c>
      <c r="E682" s="55" t="s">
        <v>2943</v>
      </c>
      <c r="F682" s="55" t="s">
        <v>2342</v>
      </c>
      <c r="G682" s="55" t="s">
        <v>2944</v>
      </c>
      <c r="I682" s="55" t="s">
        <v>891</v>
      </c>
    </row>
    <row r="683" customFormat="false" ht="11.25" hidden="false" customHeight="true" outlineLevel="0" collapsed="false">
      <c r="A683" s="55" t="s">
        <v>2243</v>
      </c>
      <c r="B683" s="55" t="s">
        <v>16</v>
      </c>
      <c r="C683" s="55" t="s">
        <v>2948</v>
      </c>
      <c r="D683" s="55" t="s">
        <v>2949</v>
      </c>
      <c r="E683" s="55" t="s">
        <v>2950</v>
      </c>
      <c r="F683" s="55" t="s">
        <v>2283</v>
      </c>
      <c r="G683" s="55" t="s">
        <v>2951</v>
      </c>
      <c r="I683" s="55" t="s">
        <v>891</v>
      </c>
    </row>
    <row r="684" customFormat="false" ht="11.25" hidden="false" customHeight="true" outlineLevel="0" collapsed="false">
      <c r="A684" s="55" t="s">
        <v>2243</v>
      </c>
      <c r="B684" s="55" t="s">
        <v>16</v>
      </c>
      <c r="C684" s="55" t="s">
        <v>2952</v>
      </c>
      <c r="D684" s="55" t="s">
        <v>2953</v>
      </c>
      <c r="E684" s="55" t="s">
        <v>2954</v>
      </c>
      <c r="F684" s="55" t="s">
        <v>2333</v>
      </c>
      <c r="G684" s="55" t="s">
        <v>2955</v>
      </c>
      <c r="I684" s="55" t="s">
        <v>891</v>
      </c>
    </row>
    <row r="685" customFormat="false" ht="11.25" hidden="false" customHeight="true" outlineLevel="0" collapsed="false">
      <c r="A685" s="55" t="s">
        <v>2243</v>
      </c>
      <c r="B685" s="55" t="s">
        <v>16</v>
      </c>
      <c r="C685" s="55" t="s">
        <v>2960</v>
      </c>
      <c r="D685" s="55" t="s">
        <v>2961</v>
      </c>
      <c r="E685" s="55" t="s">
        <v>2962</v>
      </c>
      <c r="F685" s="55" t="s">
        <v>2470</v>
      </c>
      <c r="G685" s="55" t="s">
        <v>2963</v>
      </c>
      <c r="I685" s="55" t="s">
        <v>891</v>
      </c>
    </row>
    <row r="686" customFormat="false" ht="11.25" hidden="false" customHeight="true" outlineLevel="0" collapsed="false">
      <c r="A686" s="55" t="s">
        <v>2243</v>
      </c>
      <c r="B686" s="55" t="s">
        <v>16</v>
      </c>
      <c r="C686" s="55" t="s">
        <v>2977</v>
      </c>
      <c r="D686" s="55" t="s">
        <v>2978</v>
      </c>
      <c r="E686" s="55" t="s">
        <v>2979</v>
      </c>
      <c r="F686" s="55" t="s">
        <v>2709</v>
      </c>
      <c r="G686" s="55" t="s">
        <v>2980</v>
      </c>
      <c r="I686" s="55" t="s">
        <v>891</v>
      </c>
    </row>
    <row r="687" customFormat="false" ht="11.25" hidden="false" customHeight="true" outlineLevel="0" collapsed="false">
      <c r="A687" s="55" t="s">
        <v>2243</v>
      </c>
      <c r="B687" s="55" t="s">
        <v>16</v>
      </c>
      <c r="C687" s="55" t="s">
        <v>2984</v>
      </c>
      <c r="D687" s="55" t="s">
        <v>2985</v>
      </c>
      <c r="E687" s="55" t="s">
        <v>2986</v>
      </c>
      <c r="F687" s="55" t="s">
        <v>2338</v>
      </c>
      <c r="I687" s="55" t="s">
        <v>891</v>
      </c>
    </row>
    <row r="688" customFormat="false" ht="11.25" hidden="false" customHeight="true" outlineLevel="0" collapsed="false">
      <c r="A688" s="55" t="s">
        <v>2243</v>
      </c>
      <c r="B688" s="55" t="s">
        <v>16</v>
      </c>
      <c r="C688" s="55" t="s">
        <v>2991</v>
      </c>
      <c r="D688" s="55" t="s">
        <v>2992</v>
      </c>
      <c r="E688" s="55" t="s">
        <v>2993</v>
      </c>
      <c r="F688" s="55" t="s">
        <v>2566</v>
      </c>
      <c r="G688" s="55" t="s">
        <v>2994</v>
      </c>
      <c r="I688" s="55" t="s">
        <v>891</v>
      </c>
    </row>
    <row r="689" customFormat="false" ht="11.25" hidden="false" customHeight="true" outlineLevel="0" collapsed="false">
      <c r="A689" s="55" t="s">
        <v>2243</v>
      </c>
      <c r="B689" s="55" t="s">
        <v>16</v>
      </c>
      <c r="C689" s="55" t="s">
        <v>2999</v>
      </c>
      <c r="D689" s="55" t="s">
        <v>3000</v>
      </c>
      <c r="E689" s="55" t="s">
        <v>3001</v>
      </c>
      <c r="F689" s="55" t="s">
        <v>2558</v>
      </c>
      <c r="I689" s="55" t="s">
        <v>891</v>
      </c>
    </row>
    <row r="690" customFormat="false" ht="11.25" hidden="false" customHeight="true" outlineLevel="0" collapsed="false">
      <c r="A690" s="55" t="s">
        <v>2243</v>
      </c>
      <c r="B690" s="55" t="s">
        <v>16</v>
      </c>
      <c r="C690" s="55" t="s">
        <v>3006</v>
      </c>
      <c r="D690" s="55" t="s">
        <v>3007</v>
      </c>
      <c r="E690" s="55" t="s">
        <v>3008</v>
      </c>
      <c r="F690" s="55" t="s">
        <v>2342</v>
      </c>
      <c r="G690" s="55" t="s">
        <v>3009</v>
      </c>
      <c r="I690" s="55" t="s">
        <v>891</v>
      </c>
    </row>
    <row r="691" customFormat="false" ht="11.25" hidden="false" customHeight="true" outlineLevel="0" collapsed="false">
      <c r="A691" s="55" t="s">
        <v>2243</v>
      </c>
      <c r="B691" s="55" t="s">
        <v>16</v>
      </c>
      <c r="C691" s="55" t="s">
        <v>3020</v>
      </c>
      <c r="D691" s="55" t="s">
        <v>3021</v>
      </c>
      <c r="E691" s="55" t="s">
        <v>3022</v>
      </c>
      <c r="F691" s="55" t="s">
        <v>2283</v>
      </c>
      <c r="G691" s="55" t="s">
        <v>3023</v>
      </c>
      <c r="I691" s="55" t="s">
        <v>891</v>
      </c>
    </row>
    <row r="692" customFormat="false" ht="11.25" hidden="false" customHeight="true" outlineLevel="0" collapsed="false">
      <c r="A692" s="55" t="s">
        <v>2243</v>
      </c>
      <c r="B692" s="55" t="s">
        <v>16</v>
      </c>
      <c r="C692" s="55" t="s">
        <v>3024</v>
      </c>
      <c r="D692" s="55" t="s">
        <v>3025</v>
      </c>
      <c r="E692" s="55" t="s">
        <v>3026</v>
      </c>
      <c r="F692" s="55" t="s">
        <v>2342</v>
      </c>
      <c r="G692" s="55" t="s">
        <v>3027</v>
      </c>
      <c r="I692" s="55" t="s">
        <v>891</v>
      </c>
    </row>
    <row r="693" customFormat="false" ht="11.25" hidden="false" customHeight="true" outlineLevel="0" collapsed="false">
      <c r="A693" s="55" t="s">
        <v>2243</v>
      </c>
      <c r="B693" s="55" t="s">
        <v>16</v>
      </c>
      <c r="C693" s="55" t="s">
        <v>3028</v>
      </c>
      <c r="D693" s="55" t="s">
        <v>3029</v>
      </c>
      <c r="E693" s="55" t="s">
        <v>3030</v>
      </c>
      <c r="F693" s="55" t="s">
        <v>2566</v>
      </c>
      <c r="G693" s="55" t="s">
        <v>3031</v>
      </c>
      <c r="I693" s="55" t="s">
        <v>891</v>
      </c>
    </row>
    <row r="694" customFormat="false" ht="11.25" hidden="false" customHeight="true" outlineLevel="0" collapsed="false">
      <c r="A694" s="55" t="s">
        <v>2243</v>
      </c>
      <c r="B694" s="55" t="s">
        <v>16</v>
      </c>
      <c r="C694" s="55" t="s">
        <v>3032</v>
      </c>
      <c r="D694" s="55" t="s">
        <v>3033</v>
      </c>
      <c r="E694" s="55" t="s">
        <v>3034</v>
      </c>
      <c r="F694" s="55" t="s">
        <v>2283</v>
      </c>
      <c r="G694" s="55" t="s">
        <v>3035</v>
      </c>
      <c r="I694" s="55" t="s">
        <v>891</v>
      </c>
    </row>
    <row r="695" customFormat="false" ht="11.25" hidden="false" customHeight="true" outlineLevel="0" collapsed="false">
      <c r="A695" s="55" t="s">
        <v>2243</v>
      </c>
      <c r="B695" s="55" t="s">
        <v>16</v>
      </c>
      <c r="C695" s="55" t="s">
        <v>3047</v>
      </c>
      <c r="D695" s="55" t="s">
        <v>3048</v>
      </c>
      <c r="E695" s="55" t="s">
        <v>3049</v>
      </c>
      <c r="F695" s="55" t="s">
        <v>2283</v>
      </c>
      <c r="I695" s="55" t="s">
        <v>891</v>
      </c>
    </row>
    <row r="696" customFormat="false" ht="11.25" hidden="false" customHeight="true" outlineLevel="0" collapsed="false">
      <c r="A696" s="55" t="s">
        <v>2243</v>
      </c>
      <c r="B696" s="55" t="s">
        <v>16</v>
      </c>
      <c r="C696" s="55" t="s">
        <v>3054</v>
      </c>
      <c r="D696" s="55" t="s">
        <v>3055</v>
      </c>
      <c r="E696" s="55" t="s">
        <v>3056</v>
      </c>
      <c r="F696" s="55" t="s">
        <v>2338</v>
      </c>
      <c r="G696" s="55" t="s">
        <v>3057</v>
      </c>
      <c r="I696" s="55" t="s">
        <v>891</v>
      </c>
    </row>
    <row r="697" customFormat="false" ht="11.25" hidden="false" customHeight="true" outlineLevel="0" collapsed="false">
      <c r="A697" s="55" t="s">
        <v>2243</v>
      </c>
      <c r="B697" s="55" t="s">
        <v>16</v>
      </c>
      <c r="C697" s="55" t="s">
        <v>3062</v>
      </c>
      <c r="D697" s="55" t="s">
        <v>3063</v>
      </c>
      <c r="E697" s="55" t="s">
        <v>3064</v>
      </c>
      <c r="F697" s="55" t="s">
        <v>2309</v>
      </c>
      <c r="G697" s="55" t="s">
        <v>3065</v>
      </c>
      <c r="I697" s="55" t="s">
        <v>891</v>
      </c>
    </row>
    <row r="698" customFormat="false" ht="11.25" hidden="false" customHeight="true" outlineLevel="0" collapsed="false">
      <c r="A698" s="55" t="s">
        <v>2243</v>
      </c>
      <c r="B698" s="55" t="s">
        <v>16</v>
      </c>
      <c r="C698" s="55" t="s">
        <v>3069</v>
      </c>
      <c r="D698" s="55" t="s">
        <v>3070</v>
      </c>
      <c r="E698" s="55" t="s">
        <v>3071</v>
      </c>
      <c r="F698" s="55" t="s">
        <v>2387</v>
      </c>
      <c r="G698" s="55" t="s">
        <v>3072</v>
      </c>
      <c r="I698" s="55" t="s">
        <v>891</v>
      </c>
    </row>
    <row r="699" customFormat="false" ht="11.25" hidden="false" customHeight="true" outlineLevel="0" collapsed="false">
      <c r="A699" s="55" t="s">
        <v>2243</v>
      </c>
      <c r="B699" s="55" t="s">
        <v>16</v>
      </c>
      <c r="C699" s="55" t="s">
        <v>3073</v>
      </c>
      <c r="D699" s="55" t="s">
        <v>3074</v>
      </c>
      <c r="E699" s="55" t="s">
        <v>3075</v>
      </c>
      <c r="F699" s="55" t="s">
        <v>3076</v>
      </c>
      <c r="G699" s="55" t="s">
        <v>3077</v>
      </c>
      <c r="I699" s="55" t="s">
        <v>891</v>
      </c>
    </row>
    <row r="700" customFormat="false" ht="11.25" hidden="false" customHeight="true" outlineLevel="0" collapsed="false">
      <c r="A700" s="55" t="s">
        <v>2243</v>
      </c>
      <c r="B700" s="55" t="s">
        <v>16</v>
      </c>
      <c r="C700" s="55" t="s">
        <v>3081</v>
      </c>
      <c r="D700" s="55" t="s">
        <v>3082</v>
      </c>
      <c r="E700" s="55" t="s">
        <v>3083</v>
      </c>
      <c r="F700" s="55" t="s">
        <v>2342</v>
      </c>
      <c r="G700" s="55" t="s">
        <v>3084</v>
      </c>
      <c r="I700" s="55" t="s">
        <v>891</v>
      </c>
    </row>
    <row r="701" customFormat="false" ht="11.25" hidden="false" customHeight="true" outlineLevel="0" collapsed="false">
      <c r="A701" s="55" t="s">
        <v>2243</v>
      </c>
      <c r="B701" s="55" t="s">
        <v>16</v>
      </c>
      <c r="C701" s="55" t="s">
        <v>3085</v>
      </c>
      <c r="D701" s="55" t="s">
        <v>3086</v>
      </c>
      <c r="E701" s="55" t="s">
        <v>3087</v>
      </c>
      <c r="F701" s="55" t="s">
        <v>2338</v>
      </c>
      <c r="G701" s="55" t="s">
        <v>3088</v>
      </c>
      <c r="I701" s="55" t="s">
        <v>891</v>
      </c>
    </row>
    <row r="702" customFormat="false" ht="11.25" hidden="false" customHeight="true" outlineLevel="0" collapsed="false">
      <c r="A702" s="55" t="s">
        <v>2243</v>
      </c>
      <c r="B702" s="55" t="s">
        <v>16</v>
      </c>
      <c r="C702" s="55" t="s">
        <v>3089</v>
      </c>
      <c r="D702" s="55" t="s">
        <v>3090</v>
      </c>
      <c r="E702" s="55" t="s">
        <v>3091</v>
      </c>
      <c r="F702" s="55" t="s">
        <v>2338</v>
      </c>
      <c r="G702" s="55" t="s">
        <v>3092</v>
      </c>
      <c r="I702" s="55" t="s">
        <v>891</v>
      </c>
    </row>
    <row r="703" customFormat="false" ht="11.25" hidden="false" customHeight="true" outlineLevel="0" collapsed="false">
      <c r="A703" s="55" t="s">
        <v>2243</v>
      </c>
      <c r="B703" s="55" t="s">
        <v>16</v>
      </c>
      <c r="C703" s="55" t="s">
        <v>3099</v>
      </c>
      <c r="D703" s="55" t="s">
        <v>3100</v>
      </c>
      <c r="E703" s="55" t="s">
        <v>3101</v>
      </c>
      <c r="F703" s="55" t="s">
        <v>2672</v>
      </c>
      <c r="I703" s="55" t="s">
        <v>891</v>
      </c>
    </row>
    <row r="704" customFormat="false" ht="11.25" hidden="false" customHeight="true" outlineLevel="0" collapsed="false">
      <c r="A704" s="55" t="s">
        <v>2243</v>
      </c>
      <c r="B704" s="55" t="s">
        <v>16</v>
      </c>
      <c r="C704" s="55" t="s">
        <v>3102</v>
      </c>
      <c r="D704" s="55" t="s">
        <v>3103</v>
      </c>
      <c r="E704" s="55" t="s">
        <v>3104</v>
      </c>
      <c r="F704" s="55" t="s">
        <v>2672</v>
      </c>
      <c r="I704" s="55" t="s">
        <v>891</v>
      </c>
    </row>
    <row r="705" customFormat="false" ht="11.25" hidden="false" customHeight="true" outlineLevel="0" collapsed="false">
      <c r="A705" s="55" t="s">
        <v>2243</v>
      </c>
      <c r="B705" s="55" t="s">
        <v>16</v>
      </c>
      <c r="C705" s="55" t="s">
        <v>3105</v>
      </c>
      <c r="D705" s="55" t="s">
        <v>3106</v>
      </c>
      <c r="E705" s="55" t="s">
        <v>3107</v>
      </c>
      <c r="F705" s="55" t="s">
        <v>2672</v>
      </c>
      <c r="G705" s="55" t="s">
        <v>3108</v>
      </c>
      <c r="I705" s="55" t="s">
        <v>891</v>
      </c>
    </row>
    <row r="706" customFormat="false" ht="11.25" hidden="false" customHeight="true" outlineLevel="0" collapsed="false">
      <c r="A706" s="55" t="s">
        <v>2243</v>
      </c>
      <c r="B706" s="55" t="s">
        <v>16</v>
      </c>
      <c r="C706" s="55" t="s">
        <v>3109</v>
      </c>
      <c r="D706" s="55" t="s">
        <v>3110</v>
      </c>
      <c r="E706" s="55" t="s">
        <v>3111</v>
      </c>
      <c r="F706" s="55" t="s">
        <v>2672</v>
      </c>
      <c r="G706" s="55" t="s">
        <v>3112</v>
      </c>
      <c r="I706" s="55" t="s">
        <v>891</v>
      </c>
    </row>
    <row r="707" customFormat="false" ht="11.25" hidden="false" customHeight="true" outlineLevel="0" collapsed="false">
      <c r="A707" s="55" t="s">
        <v>2243</v>
      </c>
      <c r="B707" s="55" t="s">
        <v>16</v>
      </c>
      <c r="C707" s="55" t="s">
        <v>3127</v>
      </c>
      <c r="D707" s="55" t="s">
        <v>3128</v>
      </c>
      <c r="E707" s="55" t="s">
        <v>3129</v>
      </c>
      <c r="F707" s="55" t="s">
        <v>3130</v>
      </c>
      <c r="I707" s="55" t="s">
        <v>891</v>
      </c>
    </row>
    <row r="708" customFormat="false" ht="11.25" hidden="false" customHeight="true" outlineLevel="0" collapsed="false">
      <c r="A708" s="55" t="s">
        <v>2243</v>
      </c>
      <c r="B708" s="55" t="s">
        <v>16</v>
      </c>
      <c r="C708" s="55" t="s">
        <v>3131</v>
      </c>
      <c r="D708" s="55" t="s">
        <v>3132</v>
      </c>
      <c r="E708" s="55" t="s">
        <v>3133</v>
      </c>
      <c r="F708" s="55" t="s">
        <v>2387</v>
      </c>
      <c r="I708" s="55" t="s">
        <v>891</v>
      </c>
    </row>
    <row r="709" customFormat="false" ht="11.25" hidden="false" customHeight="true" outlineLevel="0" collapsed="false">
      <c r="A709" s="55" t="s">
        <v>2243</v>
      </c>
      <c r="B709" s="55" t="s">
        <v>16</v>
      </c>
      <c r="C709" s="55" t="s">
        <v>3134</v>
      </c>
      <c r="D709" s="55" t="s">
        <v>3135</v>
      </c>
      <c r="E709" s="55" t="s">
        <v>3136</v>
      </c>
      <c r="F709" s="55" t="s">
        <v>2566</v>
      </c>
      <c r="I709" s="55" t="s">
        <v>891</v>
      </c>
    </row>
    <row r="710" customFormat="false" ht="11.25" hidden="false" customHeight="true" outlineLevel="0" collapsed="false">
      <c r="A710" s="55" t="s">
        <v>2243</v>
      </c>
      <c r="B710" s="55" t="s">
        <v>16</v>
      </c>
      <c r="C710" s="55" t="s">
        <v>3137</v>
      </c>
      <c r="D710" s="55" t="s">
        <v>3138</v>
      </c>
      <c r="E710" s="55" t="s">
        <v>3139</v>
      </c>
      <c r="F710" s="55" t="s">
        <v>2672</v>
      </c>
      <c r="G710" s="55" t="s">
        <v>3140</v>
      </c>
      <c r="I710" s="55" t="s">
        <v>891</v>
      </c>
    </row>
    <row r="711" customFormat="false" ht="11.25" hidden="false" customHeight="true" outlineLevel="0" collapsed="false">
      <c r="A711" s="55" t="s">
        <v>2243</v>
      </c>
      <c r="B711" s="55" t="s">
        <v>16</v>
      </c>
      <c r="C711" s="55" t="s">
        <v>3145</v>
      </c>
      <c r="D711" s="55" t="s">
        <v>3146</v>
      </c>
      <c r="E711" s="55" t="s">
        <v>3147</v>
      </c>
      <c r="F711" s="55" t="s">
        <v>2566</v>
      </c>
      <c r="I711" s="55" t="s">
        <v>891</v>
      </c>
    </row>
    <row r="712" customFormat="false" ht="11.25" hidden="false" customHeight="true" outlineLevel="0" collapsed="false">
      <c r="A712" s="55" t="s">
        <v>2243</v>
      </c>
      <c r="B712" s="55" t="s">
        <v>16</v>
      </c>
      <c r="C712" s="55" t="s">
        <v>3148</v>
      </c>
      <c r="D712" s="55" t="s">
        <v>3149</v>
      </c>
      <c r="E712" s="55" t="s">
        <v>3150</v>
      </c>
      <c r="F712" s="55" t="s">
        <v>2566</v>
      </c>
      <c r="G712" s="55" t="s">
        <v>3151</v>
      </c>
      <c r="I712" s="55" t="s">
        <v>891</v>
      </c>
    </row>
    <row r="713" customFormat="false" ht="11.25" hidden="false" customHeight="true" outlineLevel="0" collapsed="false">
      <c r="A713" s="55" t="s">
        <v>2243</v>
      </c>
      <c r="B713" s="55" t="s">
        <v>16</v>
      </c>
      <c r="C713" s="55" t="s">
        <v>3159</v>
      </c>
      <c r="D713" s="55" t="s">
        <v>3160</v>
      </c>
      <c r="E713" s="55" t="s">
        <v>3161</v>
      </c>
      <c r="F713" s="55" t="s">
        <v>2333</v>
      </c>
      <c r="G713" s="55" t="s">
        <v>3162</v>
      </c>
      <c r="I713" s="55" t="s">
        <v>891</v>
      </c>
    </row>
    <row r="714" customFormat="false" ht="11.25" hidden="false" customHeight="true" outlineLevel="0" collapsed="false">
      <c r="A714" s="55" t="s">
        <v>2243</v>
      </c>
      <c r="B714" s="55" t="s">
        <v>16</v>
      </c>
      <c r="C714" s="55" t="s">
        <v>3166</v>
      </c>
      <c r="D714" s="55" t="s">
        <v>3167</v>
      </c>
      <c r="E714" s="55" t="s">
        <v>3168</v>
      </c>
      <c r="F714" s="55" t="s">
        <v>2247</v>
      </c>
      <c r="G714" s="55" t="s">
        <v>3169</v>
      </c>
      <c r="I714" s="55" t="s">
        <v>891</v>
      </c>
    </row>
    <row r="715" customFormat="false" ht="11.25" hidden="false" customHeight="true" outlineLevel="0" collapsed="false">
      <c r="A715" s="55" t="s">
        <v>2243</v>
      </c>
      <c r="B715" s="55" t="s">
        <v>16</v>
      </c>
      <c r="C715" s="55" t="s">
        <v>3170</v>
      </c>
      <c r="D715" s="55" t="s">
        <v>3171</v>
      </c>
      <c r="E715" s="55" t="s">
        <v>3172</v>
      </c>
      <c r="F715" s="55" t="s">
        <v>2283</v>
      </c>
      <c r="G715" s="55" t="s">
        <v>3173</v>
      </c>
      <c r="I715" s="55" t="s">
        <v>891</v>
      </c>
    </row>
    <row r="716" customFormat="false" ht="11.25" hidden="false" customHeight="true" outlineLevel="0" collapsed="false">
      <c r="A716" s="55" t="s">
        <v>2243</v>
      </c>
      <c r="B716" s="55" t="s">
        <v>16</v>
      </c>
      <c r="C716" s="55" t="s">
        <v>3174</v>
      </c>
      <c r="D716" s="55" t="s">
        <v>3175</v>
      </c>
      <c r="E716" s="55" t="s">
        <v>3176</v>
      </c>
      <c r="F716" s="55" t="s">
        <v>2247</v>
      </c>
      <c r="G716" s="55" t="s">
        <v>3177</v>
      </c>
      <c r="I716" s="55" t="s">
        <v>891</v>
      </c>
    </row>
    <row r="717" customFormat="false" ht="11.25" hidden="false" customHeight="true" outlineLevel="0" collapsed="false">
      <c r="A717" s="55" t="s">
        <v>2243</v>
      </c>
      <c r="B717" s="55" t="s">
        <v>16</v>
      </c>
      <c r="C717" s="55" t="s">
        <v>3185</v>
      </c>
      <c r="D717" s="55" t="s">
        <v>3186</v>
      </c>
      <c r="E717" s="55" t="s">
        <v>3187</v>
      </c>
      <c r="F717" s="55" t="s">
        <v>2274</v>
      </c>
      <c r="I717" s="55" t="s">
        <v>891</v>
      </c>
    </row>
    <row r="718" customFormat="false" ht="11.25" hidden="false" customHeight="true" outlineLevel="0" collapsed="false">
      <c r="A718" s="55" t="s">
        <v>2243</v>
      </c>
      <c r="B718" s="55" t="s">
        <v>16</v>
      </c>
      <c r="C718" s="55" t="s">
        <v>3196</v>
      </c>
      <c r="D718" s="55" t="s">
        <v>3197</v>
      </c>
      <c r="E718" s="55" t="s">
        <v>3198</v>
      </c>
      <c r="F718" s="55" t="s">
        <v>2247</v>
      </c>
      <c r="G718" s="55" t="s">
        <v>3199</v>
      </c>
      <c r="I718" s="55" t="s">
        <v>891</v>
      </c>
    </row>
    <row r="719" customFormat="false" ht="11.25" hidden="false" customHeight="true" outlineLevel="0" collapsed="false">
      <c r="A719" s="55" t="s">
        <v>2243</v>
      </c>
      <c r="B719" s="55" t="s">
        <v>16</v>
      </c>
      <c r="C719" s="55" t="s">
        <v>3200</v>
      </c>
      <c r="D719" s="55" t="s">
        <v>3201</v>
      </c>
      <c r="E719" s="55" t="s">
        <v>3202</v>
      </c>
      <c r="F719" s="55" t="s">
        <v>2338</v>
      </c>
      <c r="G719" s="55" t="s">
        <v>3203</v>
      </c>
      <c r="I719" s="55" t="s">
        <v>891</v>
      </c>
    </row>
    <row r="720" customFormat="false" ht="11.25" hidden="false" customHeight="true" outlineLevel="0" collapsed="false">
      <c r="A720" s="55" t="s">
        <v>2243</v>
      </c>
      <c r="B720" s="55" t="s">
        <v>16</v>
      </c>
      <c r="C720" s="55" t="s">
        <v>3208</v>
      </c>
      <c r="D720" s="55" t="s">
        <v>3209</v>
      </c>
      <c r="E720" s="55" t="s">
        <v>3210</v>
      </c>
      <c r="F720" s="55" t="s">
        <v>2247</v>
      </c>
      <c r="G720" s="55" t="s">
        <v>3211</v>
      </c>
      <c r="I720" s="55" t="s">
        <v>891</v>
      </c>
    </row>
    <row r="721" customFormat="false" ht="11.25" hidden="false" customHeight="true" outlineLevel="0" collapsed="false">
      <c r="A721" s="55" t="s">
        <v>2243</v>
      </c>
      <c r="B721" s="55" t="s">
        <v>16</v>
      </c>
      <c r="C721" s="55" t="s">
        <v>3219</v>
      </c>
      <c r="D721" s="55" t="s">
        <v>3220</v>
      </c>
      <c r="E721" s="55" t="s">
        <v>3221</v>
      </c>
      <c r="F721" s="55" t="s">
        <v>2283</v>
      </c>
      <c r="I721" s="55" t="s">
        <v>891</v>
      </c>
    </row>
    <row r="722" customFormat="false" ht="11.25" hidden="false" customHeight="true" outlineLevel="0" collapsed="false">
      <c r="A722" s="55" t="s">
        <v>2243</v>
      </c>
      <c r="B722" s="55" t="s">
        <v>16</v>
      </c>
      <c r="C722" s="55" t="s">
        <v>3222</v>
      </c>
      <c r="D722" s="55" t="s">
        <v>3223</v>
      </c>
      <c r="E722" s="55" t="s">
        <v>3224</v>
      </c>
      <c r="F722" s="55" t="s">
        <v>2283</v>
      </c>
      <c r="I722" s="55" t="s">
        <v>891</v>
      </c>
    </row>
    <row r="723" customFormat="false" ht="11.25" hidden="false" customHeight="true" outlineLevel="0" collapsed="false">
      <c r="A723" s="55" t="s">
        <v>2243</v>
      </c>
      <c r="B723" s="55" t="s">
        <v>16</v>
      </c>
      <c r="C723" s="55" t="s">
        <v>3229</v>
      </c>
      <c r="D723" s="55" t="s">
        <v>3230</v>
      </c>
      <c r="E723" s="55" t="s">
        <v>3231</v>
      </c>
      <c r="F723" s="55" t="s">
        <v>2283</v>
      </c>
      <c r="I723" s="55" t="s">
        <v>891</v>
      </c>
    </row>
    <row r="724" customFormat="false" ht="11.25" hidden="false" customHeight="true" outlineLevel="0" collapsed="false">
      <c r="A724" s="55" t="s">
        <v>2243</v>
      </c>
      <c r="B724" s="55" t="s">
        <v>16</v>
      </c>
      <c r="C724" s="55" t="s">
        <v>3232</v>
      </c>
      <c r="D724" s="55" t="s">
        <v>3233</v>
      </c>
      <c r="E724" s="55" t="s">
        <v>3234</v>
      </c>
      <c r="F724" s="55" t="s">
        <v>3235</v>
      </c>
      <c r="I724" s="55" t="s">
        <v>891</v>
      </c>
    </row>
    <row r="725" customFormat="false" ht="11.25" hidden="false" customHeight="true" outlineLevel="0" collapsed="false">
      <c r="A725" s="55" t="s">
        <v>2243</v>
      </c>
      <c r="B725" s="55" t="s">
        <v>16</v>
      </c>
      <c r="C725" s="55" t="s">
        <v>3251</v>
      </c>
      <c r="D725" s="55" t="s">
        <v>3252</v>
      </c>
      <c r="E725" s="55" t="s">
        <v>3253</v>
      </c>
      <c r="F725" s="55" t="s">
        <v>3254</v>
      </c>
      <c r="I725" s="55" t="s">
        <v>891</v>
      </c>
    </row>
    <row r="726" customFormat="false" ht="11.25" hidden="false" customHeight="true" outlineLevel="0" collapsed="false">
      <c r="A726" s="55" t="s">
        <v>2243</v>
      </c>
      <c r="B726" s="55" t="s">
        <v>16</v>
      </c>
      <c r="C726" s="55" t="s">
        <v>3255</v>
      </c>
      <c r="D726" s="55" t="s">
        <v>3256</v>
      </c>
      <c r="E726" s="55" t="s">
        <v>3257</v>
      </c>
      <c r="F726" s="55" t="s">
        <v>2566</v>
      </c>
      <c r="I726" s="55" t="s">
        <v>891</v>
      </c>
    </row>
    <row r="727" customFormat="false" ht="11.25" hidden="false" customHeight="true" outlineLevel="0" collapsed="false">
      <c r="A727" s="55" t="s">
        <v>2243</v>
      </c>
      <c r="B727" s="55" t="s">
        <v>16</v>
      </c>
      <c r="C727" s="55" t="s">
        <v>3261</v>
      </c>
      <c r="D727" s="55" t="s">
        <v>3262</v>
      </c>
      <c r="E727" s="55" t="s">
        <v>3263</v>
      </c>
      <c r="F727" s="55" t="s">
        <v>3130</v>
      </c>
      <c r="I727" s="55" t="s">
        <v>891</v>
      </c>
    </row>
    <row r="728" customFormat="false" ht="11.25" hidden="false" customHeight="true" outlineLevel="0" collapsed="false">
      <c r="A728" s="55" t="s">
        <v>2243</v>
      </c>
      <c r="B728" s="55" t="s">
        <v>16</v>
      </c>
      <c r="C728" s="55" t="s">
        <v>3264</v>
      </c>
      <c r="D728" s="55" t="s">
        <v>3265</v>
      </c>
      <c r="E728" s="55" t="s">
        <v>3266</v>
      </c>
      <c r="F728" s="55" t="s">
        <v>2371</v>
      </c>
      <c r="H728" s="55" t="s">
        <v>3267</v>
      </c>
      <c r="I728" s="55" t="s">
        <v>891</v>
      </c>
    </row>
    <row r="729" customFormat="false" ht="11.25" hidden="false" customHeight="true" outlineLevel="0" collapsed="false">
      <c r="A729" s="55" t="s">
        <v>2243</v>
      </c>
      <c r="B729" s="55" t="s">
        <v>16</v>
      </c>
      <c r="C729" s="55" t="s">
        <v>3268</v>
      </c>
      <c r="D729" s="55" t="s">
        <v>3269</v>
      </c>
      <c r="E729" s="55" t="s">
        <v>3270</v>
      </c>
      <c r="F729" s="55" t="s">
        <v>2283</v>
      </c>
      <c r="I729" s="55" t="s">
        <v>891</v>
      </c>
    </row>
    <row r="730" customFormat="false" ht="11.25" hidden="false" customHeight="true" outlineLevel="0" collapsed="false">
      <c r="A730" s="55" t="s">
        <v>2243</v>
      </c>
      <c r="B730" s="55" t="s">
        <v>16</v>
      </c>
      <c r="C730" s="55" t="s">
        <v>3274</v>
      </c>
      <c r="D730" s="55" t="s">
        <v>3275</v>
      </c>
      <c r="E730" s="55" t="s">
        <v>3276</v>
      </c>
      <c r="F730" s="55" t="s">
        <v>2247</v>
      </c>
      <c r="I730" s="55" t="s">
        <v>891</v>
      </c>
    </row>
    <row r="731" customFormat="false" ht="11.25" hidden="false" customHeight="true" outlineLevel="0" collapsed="false">
      <c r="A731" s="55" t="s">
        <v>2243</v>
      </c>
      <c r="B731" s="55" t="s">
        <v>16</v>
      </c>
      <c r="C731" s="55" t="s">
        <v>4275</v>
      </c>
      <c r="D731" s="55" t="s">
        <v>4276</v>
      </c>
      <c r="E731" s="55" t="s">
        <v>4277</v>
      </c>
      <c r="F731" s="55" t="s">
        <v>2371</v>
      </c>
      <c r="I731" s="55" t="s">
        <v>891</v>
      </c>
    </row>
    <row r="732" customFormat="false" ht="11.25" hidden="false" customHeight="true" outlineLevel="0" collapsed="false">
      <c r="A732" s="55" t="s">
        <v>2243</v>
      </c>
      <c r="B732" s="55" t="s">
        <v>16</v>
      </c>
      <c r="C732" s="55" t="s">
        <v>3280</v>
      </c>
      <c r="D732" s="55" t="s">
        <v>3281</v>
      </c>
      <c r="E732" s="55" t="s">
        <v>3282</v>
      </c>
      <c r="F732" s="55" t="s">
        <v>2247</v>
      </c>
      <c r="I732" s="55" t="s">
        <v>891</v>
      </c>
    </row>
    <row r="733" customFormat="false" ht="11.25" hidden="false" customHeight="true" outlineLevel="0" collapsed="false">
      <c r="A733" s="55" t="s">
        <v>2243</v>
      </c>
      <c r="B733" s="55" t="s">
        <v>16</v>
      </c>
      <c r="C733" s="55" t="s">
        <v>3295</v>
      </c>
      <c r="D733" s="55" t="s">
        <v>3296</v>
      </c>
      <c r="E733" s="55" t="s">
        <v>3297</v>
      </c>
      <c r="F733" s="55" t="s">
        <v>2329</v>
      </c>
      <c r="I733" s="55" t="s">
        <v>891</v>
      </c>
    </row>
    <row r="734" customFormat="false" ht="11.25" hidden="false" customHeight="true" outlineLevel="0" collapsed="false">
      <c r="A734" s="55" t="s">
        <v>2243</v>
      </c>
      <c r="B734" s="55" t="s">
        <v>16</v>
      </c>
      <c r="C734" s="55" t="s">
        <v>3301</v>
      </c>
      <c r="D734" s="55" t="s">
        <v>3302</v>
      </c>
      <c r="E734" s="55" t="s">
        <v>3303</v>
      </c>
      <c r="F734" s="55" t="s">
        <v>3304</v>
      </c>
      <c r="I734" s="55" t="s">
        <v>891</v>
      </c>
    </row>
    <row r="735" customFormat="false" ht="11.25" hidden="false" customHeight="true" outlineLevel="0" collapsed="false">
      <c r="A735" s="55" t="s">
        <v>2243</v>
      </c>
      <c r="B735" s="55" t="s">
        <v>16</v>
      </c>
      <c r="C735" s="55" t="s">
        <v>3312</v>
      </c>
      <c r="D735" s="55" t="s">
        <v>3313</v>
      </c>
      <c r="E735" s="55" t="s">
        <v>3314</v>
      </c>
      <c r="F735" s="55" t="s">
        <v>3315</v>
      </c>
      <c r="I735" s="55" t="s">
        <v>891</v>
      </c>
    </row>
    <row r="736" customFormat="false" ht="11.25" hidden="false" customHeight="true" outlineLevel="0" collapsed="false">
      <c r="A736" s="55" t="s">
        <v>2243</v>
      </c>
      <c r="B736" s="55" t="s">
        <v>16</v>
      </c>
      <c r="C736" s="55" t="s">
        <v>3322</v>
      </c>
      <c r="D736" s="55" t="s">
        <v>3323</v>
      </c>
      <c r="E736" s="55" t="s">
        <v>3324</v>
      </c>
      <c r="F736" s="55" t="s">
        <v>2318</v>
      </c>
      <c r="I736" s="55" t="s">
        <v>891</v>
      </c>
    </row>
    <row r="737" customFormat="false" ht="11.25" hidden="false" customHeight="true" outlineLevel="0" collapsed="false">
      <c r="A737" s="55" t="s">
        <v>2243</v>
      </c>
      <c r="B737" s="55" t="s">
        <v>16</v>
      </c>
      <c r="C737" s="55" t="s">
        <v>3340</v>
      </c>
      <c r="D737" s="55" t="s">
        <v>3341</v>
      </c>
      <c r="E737" s="55" t="s">
        <v>3342</v>
      </c>
      <c r="F737" s="55" t="s">
        <v>2247</v>
      </c>
      <c r="I737" s="55" t="s">
        <v>891</v>
      </c>
    </row>
    <row r="738" customFormat="false" ht="11.25" hidden="false" customHeight="true" outlineLevel="0" collapsed="false">
      <c r="A738" s="55" t="s">
        <v>2243</v>
      </c>
      <c r="B738" s="55" t="s">
        <v>16</v>
      </c>
      <c r="C738" s="55" t="s">
        <v>3346</v>
      </c>
      <c r="D738" s="55" t="s">
        <v>3347</v>
      </c>
      <c r="E738" s="55" t="s">
        <v>3348</v>
      </c>
      <c r="F738" s="55" t="s">
        <v>2309</v>
      </c>
      <c r="I738" s="55" t="s">
        <v>891</v>
      </c>
    </row>
    <row r="739" customFormat="false" ht="11.25" hidden="false" customHeight="true" outlineLevel="0" collapsed="false">
      <c r="A739" s="55" t="s">
        <v>2243</v>
      </c>
      <c r="B739" s="55" t="s">
        <v>16</v>
      </c>
      <c r="C739" s="55" t="s">
        <v>3359</v>
      </c>
      <c r="D739" s="55" t="s">
        <v>3360</v>
      </c>
      <c r="E739" s="55" t="s">
        <v>3361</v>
      </c>
      <c r="F739" s="55" t="s">
        <v>2558</v>
      </c>
      <c r="I739" s="55" t="s">
        <v>891</v>
      </c>
    </row>
    <row r="740" customFormat="false" ht="11.25" hidden="false" customHeight="true" outlineLevel="0" collapsed="false">
      <c r="A740" s="55" t="s">
        <v>2243</v>
      </c>
      <c r="B740" s="55" t="s">
        <v>16</v>
      </c>
      <c r="C740" s="55" t="s">
        <v>3371</v>
      </c>
      <c r="D740" s="55" t="s">
        <v>3372</v>
      </c>
      <c r="E740" s="55" t="s">
        <v>3373</v>
      </c>
      <c r="F740" s="55" t="s">
        <v>2314</v>
      </c>
      <c r="I740" s="55" t="s">
        <v>891</v>
      </c>
    </row>
    <row r="741" customFormat="false" ht="11.25" hidden="false" customHeight="true" outlineLevel="0" collapsed="false">
      <c r="A741" s="55" t="s">
        <v>2243</v>
      </c>
      <c r="B741" s="55" t="s">
        <v>16</v>
      </c>
      <c r="C741" s="55" t="s">
        <v>4278</v>
      </c>
      <c r="D741" s="55" t="s">
        <v>4279</v>
      </c>
      <c r="E741" s="55" t="s">
        <v>3379</v>
      </c>
      <c r="F741" s="55" t="s">
        <v>2318</v>
      </c>
      <c r="I741" s="55" t="s">
        <v>891</v>
      </c>
    </row>
    <row r="742" customFormat="false" ht="11.25" hidden="false" customHeight="true" outlineLevel="0" collapsed="false">
      <c r="A742" s="55" t="s">
        <v>2243</v>
      </c>
      <c r="B742" s="55" t="s">
        <v>16</v>
      </c>
      <c r="C742" s="55" t="s">
        <v>3383</v>
      </c>
      <c r="D742" s="55" t="s">
        <v>3384</v>
      </c>
      <c r="E742" s="55" t="s">
        <v>3385</v>
      </c>
      <c r="F742" s="55" t="s">
        <v>2283</v>
      </c>
      <c r="I742" s="55" t="s">
        <v>891</v>
      </c>
    </row>
    <row r="743" customFormat="false" ht="11.25" hidden="false" customHeight="true" outlineLevel="0" collapsed="false">
      <c r="A743" s="55" t="s">
        <v>2243</v>
      </c>
      <c r="B743" s="55" t="s">
        <v>16</v>
      </c>
      <c r="C743" s="55" t="s">
        <v>3410</v>
      </c>
      <c r="D743" s="55" t="s">
        <v>3411</v>
      </c>
      <c r="E743" s="55" t="s">
        <v>3412</v>
      </c>
      <c r="F743" s="55" t="s">
        <v>3413</v>
      </c>
      <c r="I743" s="55" t="s">
        <v>891</v>
      </c>
    </row>
    <row r="744" customFormat="false" ht="11.25" hidden="false" customHeight="true" outlineLevel="0" collapsed="false">
      <c r="A744" s="55" t="s">
        <v>2243</v>
      </c>
      <c r="B744" s="55" t="s">
        <v>16</v>
      </c>
      <c r="C744" s="55" t="s">
        <v>3428</v>
      </c>
      <c r="D744" s="55" t="s">
        <v>3429</v>
      </c>
      <c r="E744" s="55" t="s">
        <v>3430</v>
      </c>
      <c r="F744" s="55" t="s">
        <v>2247</v>
      </c>
      <c r="I744" s="55" t="s">
        <v>891</v>
      </c>
    </row>
    <row r="745" customFormat="false" ht="11.25" hidden="false" customHeight="true" outlineLevel="0" collapsed="false">
      <c r="A745" s="55" t="s">
        <v>2243</v>
      </c>
      <c r="B745" s="55" t="s">
        <v>16</v>
      </c>
      <c r="C745" s="55" t="s">
        <v>3434</v>
      </c>
      <c r="D745" s="55" t="s">
        <v>3435</v>
      </c>
      <c r="E745" s="55" t="s">
        <v>3436</v>
      </c>
      <c r="F745" s="55" t="s">
        <v>2247</v>
      </c>
      <c r="I745" s="55" t="s">
        <v>891</v>
      </c>
    </row>
    <row r="746" customFormat="false" ht="11.25" hidden="false" customHeight="true" outlineLevel="0" collapsed="false">
      <c r="A746" s="55" t="s">
        <v>2243</v>
      </c>
      <c r="B746" s="55" t="s">
        <v>16</v>
      </c>
      <c r="C746" s="55" t="s">
        <v>3437</v>
      </c>
      <c r="D746" s="55" t="s">
        <v>3438</v>
      </c>
      <c r="E746" s="55" t="s">
        <v>3439</v>
      </c>
      <c r="F746" s="55" t="s">
        <v>2314</v>
      </c>
      <c r="I746" s="55" t="s">
        <v>891</v>
      </c>
    </row>
    <row r="747" customFormat="false" ht="11.25" hidden="false" customHeight="true" outlineLevel="0" collapsed="false">
      <c r="A747" s="55" t="s">
        <v>2243</v>
      </c>
      <c r="B747" s="55" t="s">
        <v>16</v>
      </c>
      <c r="C747" s="55" t="s">
        <v>3440</v>
      </c>
      <c r="D747" s="55" t="s">
        <v>3441</v>
      </c>
      <c r="E747" s="55" t="s">
        <v>3442</v>
      </c>
      <c r="F747" s="55" t="s">
        <v>2309</v>
      </c>
      <c r="I747" s="55" t="s">
        <v>891</v>
      </c>
    </row>
    <row r="748" customFormat="false" ht="11.25" hidden="false" customHeight="true" outlineLevel="0" collapsed="false">
      <c r="A748" s="55" t="s">
        <v>2243</v>
      </c>
      <c r="B748" s="55" t="s">
        <v>16</v>
      </c>
      <c r="C748" s="55" t="s">
        <v>3446</v>
      </c>
      <c r="D748" s="55" t="s">
        <v>3447</v>
      </c>
      <c r="E748" s="55" t="s">
        <v>3297</v>
      </c>
      <c r="F748" s="55" t="s">
        <v>2470</v>
      </c>
      <c r="I748" s="55" t="s">
        <v>891</v>
      </c>
    </row>
    <row r="749" customFormat="false" ht="11.25" hidden="false" customHeight="true" outlineLevel="0" collapsed="false">
      <c r="A749" s="55" t="s">
        <v>2243</v>
      </c>
      <c r="B749" s="55" t="s">
        <v>16</v>
      </c>
      <c r="C749" s="55" t="s">
        <v>3457</v>
      </c>
      <c r="D749" s="55" t="s">
        <v>3458</v>
      </c>
      <c r="E749" s="55" t="s">
        <v>3459</v>
      </c>
      <c r="F749" s="55" t="s">
        <v>2291</v>
      </c>
      <c r="I749" s="55" t="s">
        <v>891</v>
      </c>
    </row>
    <row r="750" customFormat="false" ht="11.25" hidden="false" customHeight="true" outlineLevel="0" collapsed="false">
      <c r="A750" s="55" t="s">
        <v>2243</v>
      </c>
      <c r="B750" s="55" t="s">
        <v>16</v>
      </c>
      <c r="C750" s="55" t="s">
        <v>3472</v>
      </c>
      <c r="D750" s="55" t="s">
        <v>3473</v>
      </c>
      <c r="E750" s="55" t="s">
        <v>3474</v>
      </c>
      <c r="F750" s="55" t="s">
        <v>2291</v>
      </c>
      <c r="I750" s="55" t="s">
        <v>891</v>
      </c>
    </row>
    <row r="751" customFormat="false" ht="11.25" hidden="false" customHeight="true" outlineLevel="0" collapsed="false">
      <c r="A751" s="55" t="s">
        <v>2243</v>
      </c>
      <c r="B751" s="55" t="s">
        <v>16</v>
      </c>
      <c r="C751" s="55" t="s">
        <v>3484</v>
      </c>
      <c r="D751" s="55" t="s">
        <v>3485</v>
      </c>
      <c r="E751" s="55" t="s">
        <v>2255</v>
      </c>
      <c r="F751" s="55" t="s">
        <v>2449</v>
      </c>
      <c r="I751" s="55" t="s">
        <v>891</v>
      </c>
    </row>
    <row r="752" customFormat="false" ht="11.25" hidden="false" customHeight="true" outlineLevel="0" collapsed="false">
      <c r="A752" s="55" t="s">
        <v>2243</v>
      </c>
      <c r="B752" s="55" t="s">
        <v>16</v>
      </c>
      <c r="C752" s="55" t="s">
        <v>3486</v>
      </c>
      <c r="D752" s="55" t="s">
        <v>3487</v>
      </c>
      <c r="E752" s="55" t="s">
        <v>2297</v>
      </c>
      <c r="F752" s="55" t="s">
        <v>3488</v>
      </c>
      <c r="G752" s="55" t="s">
        <v>2302</v>
      </c>
      <c r="I752" s="55" t="s">
        <v>891</v>
      </c>
    </row>
    <row r="753" customFormat="false" ht="11.25" hidden="false" customHeight="true" outlineLevel="0" collapsed="false">
      <c r="A753" s="55" t="s">
        <v>2243</v>
      </c>
      <c r="B753" s="55" t="s">
        <v>16</v>
      </c>
      <c r="C753" s="55" t="s">
        <v>3524</v>
      </c>
      <c r="D753" s="55" t="s">
        <v>3525</v>
      </c>
      <c r="E753" s="55" t="s">
        <v>3526</v>
      </c>
      <c r="F753" s="55" t="s">
        <v>2314</v>
      </c>
      <c r="I753" s="55" t="s">
        <v>891</v>
      </c>
    </row>
    <row r="754" customFormat="false" ht="11.25" hidden="false" customHeight="true" outlineLevel="0" collapsed="false">
      <c r="A754" s="55" t="s">
        <v>2243</v>
      </c>
      <c r="B754" s="55" t="s">
        <v>16</v>
      </c>
      <c r="C754" s="55" t="s">
        <v>3549</v>
      </c>
      <c r="D754" s="55" t="s">
        <v>3550</v>
      </c>
      <c r="E754" s="55" t="s">
        <v>3551</v>
      </c>
      <c r="F754" s="55" t="s">
        <v>2371</v>
      </c>
      <c r="I754" s="55" t="s">
        <v>891</v>
      </c>
    </row>
    <row r="755" customFormat="false" ht="11.25" hidden="false" customHeight="true" outlineLevel="0" collapsed="false">
      <c r="A755" s="55" t="s">
        <v>2243</v>
      </c>
      <c r="B755" s="55" t="s">
        <v>16</v>
      </c>
      <c r="C755" s="55" t="s">
        <v>3552</v>
      </c>
      <c r="D755" s="55" t="s">
        <v>3553</v>
      </c>
      <c r="E755" s="55" t="s">
        <v>3554</v>
      </c>
      <c r="F755" s="55" t="s">
        <v>2314</v>
      </c>
      <c r="I755" s="55" t="s">
        <v>891</v>
      </c>
    </row>
    <row r="756" customFormat="false" ht="11.25" hidden="false" customHeight="true" outlineLevel="0" collapsed="false">
      <c r="A756" s="55" t="s">
        <v>2243</v>
      </c>
      <c r="B756" s="55" t="s">
        <v>16</v>
      </c>
      <c r="C756" s="55" t="s">
        <v>3558</v>
      </c>
      <c r="D756" s="55" t="s">
        <v>3559</v>
      </c>
      <c r="E756" s="55" t="s">
        <v>3560</v>
      </c>
      <c r="F756" s="55" t="s">
        <v>3561</v>
      </c>
      <c r="I756" s="55" t="s">
        <v>891</v>
      </c>
    </row>
    <row r="757" customFormat="false" ht="11.25" hidden="false" customHeight="true" outlineLevel="0" collapsed="false">
      <c r="A757" s="55" t="s">
        <v>2243</v>
      </c>
      <c r="B757" s="55" t="s">
        <v>16</v>
      </c>
      <c r="C757" s="55" t="s">
        <v>3573</v>
      </c>
      <c r="D757" s="55" t="s">
        <v>3574</v>
      </c>
      <c r="E757" s="55" t="s">
        <v>3560</v>
      </c>
      <c r="F757" s="55" t="s">
        <v>3575</v>
      </c>
      <c r="I757" s="55" t="s">
        <v>891</v>
      </c>
    </row>
    <row r="758" customFormat="false" ht="11.25" hidden="false" customHeight="true" outlineLevel="0" collapsed="false">
      <c r="A758" s="55" t="s">
        <v>2243</v>
      </c>
      <c r="B758" s="55" t="s">
        <v>16</v>
      </c>
      <c r="C758" s="55" t="s">
        <v>3595</v>
      </c>
      <c r="D758" s="55" t="s">
        <v>3596</v>
      </c>
      <c r="E758" s="55" t="s">
        <v>3593</v>
      </c>
      <c r="F758" s="55" t="s">
        <v>3597</v>
      </c>
      <c r="G758" s="55" t="s">
        <v>3594</v>
      </c>
      <c r="I758" s="55" t="s">
        <v>891</v>
      </c>
    </row>
    <row r="759" customFormat="false" ht="11.25" hidden="false" customHeight="true" outlineLevel="0" collapsed="false">
      <c r="A759" s="55" t="s">
        <v>2243</v>
      </c>
      <c r="B759" s="55" t="s">
        <v>16</v>
      </c>
      <c r="C759" s="55" t="s">
        <v>3607</v>
      </c>
      <c r="D759" s="55" t="s">
        <v>3608</v>
      </c>
      <c r="E759" s="55" t="s">
        <v>3609</v>
      </c>
      <c r="F759" s="55" t="s">
        <v>3610</v>
      </c>
      <c r="I759" s="55" t="s">
        <v>891</v>
      </c>
    </row>
    <row r="760" customFormat="false" ht="11.25" hidden="false" customHeight="true" outlineLevel="0" collapsed="false">
      <c r="A760" s="55" t="s">
        <v>2243</v>
      </c>
      <c r="B760" s="55" t="s">
        <v>16</v>
      </c>
      <c r="C760" s="55" t="s">
        <v>3629</v>
      </c>
      <c r="D760" s="55" t="s">
        <v>3630</v>
      </c>
      <c r="E760" s="55" t="s">
        <v>3631</v>
      </c>
      <c r="F760" s="55" t="s">
        <v>2347</v>
      </c>
      <c r="I760" s="55" t="s">
        <v>891</v>
      </c>
    </row>
    <row r="761" customFormat="false" ht="11.25" hidden="false" customHeight="true" outlineLevel="0" collapsed="false">
      <c r="A761" s="55" t="s">
        <v>2243</v>
      </c>
      <c r="B761" s="55" t="s">
        <v>16</v>
      </c>
      <c r="C761" s="55" t="s">
        <v>3647</v>
      </c>
      <c r="D761" s="55" t="s">
        <v>3648</v>
      </c>
      <c r="E761" s="55" t="s">
        <v>3649</v>
      </c>
      <c r="F761" s="55" t="s">
        <v>2247</v>
      </c>
      <c r="I761" s="55" t="s">
        <v>891</v>
      </c>
    </row>
    <row r="762" customFormat="false" ht="11.25" hidden="false" customHeight="true" outlineLevel="0" collapsed="false">
      <c r="A762" s="55" t="s">
        <v>2243</v>
      </c>
      <c r="B762" s="55" t="s">
        <v>16</v>
      </c>
      <c r="C762" s="55" t="s">
        <v>3650</v>
      </c>
      <c r="D762" s="55" t="s">
        <v>3651</v>
      </c>
      <c r="E762" s="55" t="s">
        <v>3652</v>
      </c>
      <c r="F762" s="55" t="s">
        <v>2318</v>
      </c>
      <c r="G762" s="55" t="s">
        <v>3653</v>
      </c>
      <c r="I762" s="55" t="s">
        <v>891</v>
      </c>
    </row>
    <row r="763" customFormat="false" ht="11.25" hidden="false" customHeight="true" outlineLevel="0" collapsed="false">
      <c r="A763" s="55" t="s">
        <v>2243</v>
      </c>
      <c r="B763" s="55" t="s">
        <v>16</v>
      </c>
      <c r="C763" s="55" t="s">
        <v>3664</v>
      </c>
      <c r="D763" s="55" t="s">
        <v>3665</v>
      </c>
      <c r="E763" s="55" t="s">
        <v>3666</v>
      </c>
      <c r="F763" s="55" t="s">
        <v>2314</v>
      </c>
      <c r="I763" s="55" t="s">
        <v>891</v>
      </c>
    </row>
    <row r="764" customFormat="false" ht="11.25" hidden="false" customHeight="true" outlineLevel="0" collapsed="false">
      <c r="A764" s="55" t="s">
        <v>2243</v>
      </c>
      <c r="B764" s="55" t="s">
        <v>16</v>
      </c>
      <c r="C764" s="55" t="s">
        <v>3690</v>
      </c>
      <c r="D764" s="55" t="s">
        <v>3691</v>
      </c>
      <c r="E764" s="55" t="s">
        <v>3692</v>
      </c>
      <c r="F764" s="55" t="s">
        <v>2371</v>
      </c>
      <c r="G764" s="55" t="s">
        <v>3693</v>
      </c>
      <c r="I764" s="55" t="s">
        <v>891</v>
      </c>
    </row>
    <row r="765" customFormat="false" ht="11.25" hidden="false" customHeight="true" outlineLevel="0" collapsed="false">
      <c r="A765" s="55" t="s">
        <v>2243</v>
      </c>
      <c r="B765" s="55" t="s">
        <v>16</v>
      </c>
      <c r="C765" s="55" t="s">
        <v>3702</v>
      </c>
      <c r="D765" s="55" t="s">
        <v>3703</v>
      </c>
      <c r="E765" s="55" t="s">
        <v>3704</v>
      </c>
      <c r="F765" s="55" t="s">
        <v>2329</v>
      </c>
      <c r="I765" s="55" t="s">
        <v>891</v>
      </c>
    </row>
    <row r="766" customFormat="false" ht="11.25" hidden="false" customHeight="true" outlineLevel="0" collapsed="false">
      <c r="A766" s="55" t="s">
        <v>2243</v>
      </c>
      <c r="B766" s="55" t="s">
        <v>16</v>
      </c>
      <c r="C766" s="55" t="s">
        <v>3736</v>
      </c>
      <c r="D766" s="55" t="s">
        <v>3737</v>
      </c>
      <c r="E766" s="55" t="s">
        <v>3738</v>
      </c>
      <c r="F766" s="55" t="s">
        <v>2318</v>
      </c>
      <c r="I766" s="55" t="s">
        <v>891</v>
      </c>
    </row>
    <row r="767" customFormat="false" ht="11.25" hidden="false" customHeight="true" outlineLevel="0" collapsed="false">
      <c r="A767" s="55" t="s">
        <v>2243</v>
      </c>
      <c r="B767" s="55" t="s">
        <v>16</v>
      </c>
      <c r="C767" s="55" t="s">
        <v>3739</v>
      </c>
      <c r="D767" s="55" t="s">
        <v>3740</v>
      </c>
      <c r="E767" s="55" t="s">
        <v>3741</v>
      </c>
      <c r="F767" s="55" t="s">
        <v>2283</v>
      </c>
      <c r="I767" s="55" t="s">
        <v>891</v>
      </c>
    </row>
    <row r="768" customFormat="false" ht="11.25" hidden="false" customHeight="true" outlineLevel="0" collapsed="false">
      <c r="A768" s="55" t="s">
        <v>2243</v>
      </c>
      <c r="B768" s="55" t="s">
        <v>16</v>
      </c>
      <c r="C768" s="55" t="s">
        <v>3742</v>
      </c>
      <c r="D768" s="55" t="s">
        <v>3743</v>
      </c>
      <c r="E768" s="55" t="s">
        <v>3744</v>
      </c>
      <c r="F768" s="55" t="s">
        <v>2283</v>
      </c>
      <c r="G768" s="55" t="s">
        <v>3745</v>
      </c>
      <c r="I768" s="55" t="s">
        <v>891</v>
      </c>
    </row>
    <row r="769" customFormat="false" ht="11.25" hidden="false" customHeight="true" outlineLevel="0" collapsed="false">
      <c r="A769" s="55" t="s">
        <v>2243</v>
      </c>
      <c r="B769" s="55" t="s">
        <v>16</v>
      </c>
      <c r="C769" s="55" t="s">
        <v>3769</v>
      </c>
      <c r="D769" s="55" t="s">
        <v>3770</v>
      </c>
      <c r="E769" s="55" t="s">
        <v>3771</v>
      </c>
      <c r="F769" s="55" t="s">
        <v>2371</v>
      </c>
      <c r="I769" s="55" t="s">
        <v>891</v>
      </c>
    </row>
    <row r="770" customFormat="false" ht="11.25" hidden="false" customHeight="true" outlineLevel="0" collapsed="false">
      <c r="A770" s="55" t="s">
        <v>2243</v>
      </c>
      <c r="B770" s="55" t="s">
        <v>16</v>
      </c>
      <c r="C770" s="55" t="s">
        <v>3772</v>
      </c>
      <c r="D770" s="55" t="s">
        <v>3773</v>
      </c>
      <c r="E770" s="55" t="s">
        <v>3774</v>
      </c>
      <c r="F770" s="55" t="s">
        <v>2342</v>
      </c>
      <c r="G770" s="55" t="s">
        <v>2944</v>
      </c>
      <c r="H770" s="55" t="s">
        <v>3775</v>
      </c>
      <c r="I770" s="55" t="s">
        <v>891</v>
      </c>
    </row>
    <row r="771" customFormat="false" ht="11.25" hidden="false" customHeight="true" outlineLevel="0" collapsed="false">
      <c r="A771" s="55" t="s">
        <v>2243</v>
      </c>
      <c r="B771" s="55" t="s">
        <v>16</v>
      </c>
      <c r="C771" s="55" t="s">
        <v>3776</v>
      </c>
      <c r="D771" s="55" t="s">
        <v>3777</v>
      </c>
      <c r="E771" s="55" t="s">
        <v>3778</v>
      </c>
      <c r="F771" s="55" t="s">
        <v>3130</v>
      </c>
      <c r="G771" s="55" t="s">
        <v>3779</v>
      </c>
      <c r="I771" s="55" t="s">
        <v>891</v>
      </c>
    </row>
    <row r="772" customFormat="false" ht="11.25" hidden="false" customHeight="true" outlineLevel="0" collapsed="false">
      <c r="A772" s="55" t="s">
        <v>2243</v>
      </c>
      <c r="B772" s="55" t="s">
        <v>16</v>
      </c>
      <c r="C772" s="55" t="s">
        <v>3795</v>
      </c>
      <c r="D772" s="55" t="s">
        <v>3796</v>
      </c>
      <c r="E772" s="55" t="s">
        <v>3797</v>
      </c>
      <c r="F772" s="55" t="s">
        <v>2314</v>
      </c>
      <c r="G772" s="55" t="s">
        <v>3798</v>
      </c>
      <c r="I772" s="55" t="s">
        <v>891</v>
      </c>
    </row>
    <row r="773" customFormat="false" ht="11.25" hidden="false" customHeight="true" outlineLevel="0" collapsed="false">
      <c r="A773" s="55" t="s">
        <v>2243</v>
      </c>
      <c r="B773" s="55" t="s">
        <v>16</v>
      </c>
      <c r="C773" s="55" t="s">
        <v>3799</v>
      </c>
      <c r="D773" s="55" t="s">
        <v>3800</v>
      </c>
      <c r="E773" s="55" t="s">
        <v>3801</v>
      </c>
      <c r="F773" s="55" t="s">
        <v>3802</v>
      </c>
      <c r="I773" s="55" t="s">
        <v>891</v>
      </c>
    </row>
    <row r="774" customFormat="false" ht="11.25" hidden="false" customHeight="true" outlineLevel="0" collapsed="false">
      <c r="A774" s="55" t="s">
        <v>2243</v>
      </c>
      <c r="B774" s="55" t="s">
        <v>16</v>
      </c>
      <c r="C774" s="55" t="s">
        <v>3815</v>
      </c>
      <c r="D774" s="55" t="s">
        <v>3816</v>
      </c>
      <c r="E774" s="55" t="s">
        <v>3817</v>
      </c>
      <c r="F774" s="55" t="s">
        <v>2283</v>
      </c>
      <c r="G774" s="55" t="s">
        <v>3818</v>
      </c>
      <c r="I774" s="55" t="s">
        <v>891</v>
      </c>
    </row>
    <row r="775" customFormat="false" ht="11.25" hidden="false" customHeight="true" outlineLevel="0" collapsed="false">
      <c r="A775" s="55" t="s">
        <v>2243</v>
      </c>
      <c r="B775" s="55" t="s">
        <v>16</v>
      </c>
      <c r="C775" s="55" t="s">
        <v>3819</v>
      </c>
      <c r="D775" s="55" t="s">
        <v>3820</v>
      </c>
      <c r="E775" s="55" t="s">
        <v>3821</v>
      </c>
      <c r="F775" s="55" t="s">
        <v>2566</v>
      </c>
      <c r="G775" s="55" t="s">
        <v>3822</v>
      </c>
      <c r="I775" s="55" t="s">
        <v>891</v>
      </c>
    </row>
    <row r="776" customFormat="false" ht="11.25" hidden="false" customHeight="true" outlineLevel="0" collapsed="false">
      <c r="A776" s="55" t="s">
        <v>2243</v>
      </c>
      <c r="B776" s="55" t="s">
        <v>16</v>
      </c>
      <c r="C776" s="55" t="s">
        <v>3823</v>
      </c>
      <c r="D776" s="55" t="s">
        <v>3824</v>
      </c>
      <c r="E776" s="55" t="s">
        <v>3825</v>
      </c>
      <c r="F776" s="55" t="s">
        <v>2558</v>
      </c>
      <c r="I776" s="55" t="s">
        <v>891</v>
      </c>
    </row>
    <row r="777" customFormat="false" ht="11.25" hidden="false" customHeight="true" outlineLevel="0" collapsed="false">
      <c r="A777" s="55" t="s">
        <v>2243</v>
      </c>
      <c r="B777" s="55" t="s">
        <v>16</v>
      </c>
      <c r="C777" s="55" t="s">
        <v>3830</v>
      </c>
      <c r="D777" s="55" t="s">
        <v>3831</v>
      </c>
      <c r="E777" s="55" t="s">
        <v>3832</v>
      </c>
      <c r="F777" s="55" t="s">
        <v>2314</v>
      </c>
      <c r="G777" s="55" t="s">
        <v>3833</v>
      </c>
      <c r="I777" s="55" t="s">
        <v>891</v>
      </c>
    </row>
    <row r="778" customFormat="false" ht="11.25" hidden="false" customHeight="true" outlineLevel="0" collapsed="false">
      <c r="A778" s="55" t="s">
        <v>2243</v>
      </c>
      <c r="B778" s="55" t="s">
        <v>16</v>
      </c>
      <c r="C778" s="55" t="s">
        <v>3846</v>
      </c>
      <c r="D778" s="55" t="s">
        <v>3847</v>
      </c>
      <c r="E778" s="55" t="s">
        <v>3848</v>
      </c>
      <c r="F778" s="55" t="s">
        <v>2672</v>
      </c>
      <c r="I778" s="55" t="s">
        <v>891</v>
      </c>
    </row>
    <row r="779" customFormat="false" ht="11.25" hidden="false" customHeight="true" outlineLevel="0" collapsed="false">
      <c r="A779" s="55" t="s">
        <v>2243</v>
      </c>
      <c r="B779" s="55" t="s">
        <v>16</v>
      </c>
      <c r="C779" s="55" t="s">
        <v>3855</v>
      </c>
      <c r="D779" s="55" t="s">
        <v>3856</v>
      </c>
      <c r="E779" s="55" t="s">
        <v>3857</v>
      </c>
      <c r="F779" s="55" t="s">
        <v>2314</v>
      </c>
      <c r="G779" s="55" t="s">
        <v>2638</v>
      </c>
      <c r="I779" s="55" t="s">
        <v>891</v>
      </c>
    </row>
    <row r="780" customFormat="false" ht="11.25" hidden="false" customHeight="true" outlineLevel="0" collapsed="false">
      <c r="A780" s="55" t="s">
        <v>2243</v>
      </c>
      <c r="B780" s="55" t="s">
        <v>16</v>
      </c>
      <c r="C780" s="55" t="s">
        <v>3865</v>
      </c>
      <c r="D780" s="55" t="s">
        <v>3866</v>
      </c>
      <c r="E780" s="55" t="s">
        <v>3867</v>
      </c>
      <c r="F780" s="55" t="s">
        <v>2318</v>
      </c>
      <c r="I780" s="55" t="s">
        <v>891</v>
      </c>
    </row>
    <row r="781" customFormat="false" ht="11.25" hidden="false" customHeight="true" outlineLevel="0" collapsed="false">
      <c r="A781" s="55" t="s">
        <v>2243</v>
      </c>
      <c r="B781" s="55" t="s">
        <v>16</v>
      </c>
      <c r="C781" s="55" t="s">
        <v>3889</v>
      </c>
      <c r="D781" s="55" t="s">
        <v>3890</v>
      </c>
      <c r="E781" s="55" t="s">
        <v>3891</v>
      </c>
      <c r="F781" s="55" t="s">
        <v>2558</v>
      </c>
      <c r="G781" s="55" t="s">
        <v>3892</v>
      </c>
      <c r="I781" s="55" t="s">
        <v>891</v>
      </c>
    </row>
    <row r="782" customFormat="false" ht="11.25" hidden="false" customHeight="true" outlineLevel="0" collapsed="false">
      <c r="A782" s="55" t="s">
        <v>2243</v>
      </c>
      <c r="B782" s="55" t="s">
        <v>16</v>
      </c>
      <c r="C782" s="55" t="s">
        <v>3896</v>
      </c>
      <c r="D782" s="55" t="s">
        <v>3897</v>
      </c>
      <c r="E782" s="55" t="s">
        <v>3898</v>
      </c>
      <c r="F782" s="55" t="s">
        <v>2247</v>
      </c>
      <c r="I782" s="55" t="s">
        <v>891</v>
      </c>
    </row>
    <row r="783" customFormat="false" ht="11.25" hidden="false" customHeight="true" outlineLevel="0" collapsed="false">
      <c r="A783" s="55" t="s">
        <v>2243</v>
      </c>
      <c r="B783" s="55" t="s">
        <v>16</v>
      </c>
      <c r="C783" s="55" t="s">
        <v>3917</v>
      </c>
      <c r="D783" s="55" t="s">
        <v>3918</v>
      </c>
      <c r="E783" s="55" t="s">
        <v>3919</v>
      </c>
      <c r="F783" s="55" t="s">
        <v>3130</v>
      </c>
      <c r="I783" s="55" t="s">
        <v>891</v>
      </c>
    </row>
    <row r="784" customFormat="false" ht="11.25" hidden="false" customHeight="true" outlineLevel="0" collapsed="false">
      <c r="A784" s="55" t="s">
        <v>2243</v>
      </c>
      <c r="B784" s="55" t="s">
        <v>16</v>
      </c>
      <c r="C784" s="55" t="s">
        <v>3923</v>
      </c>
      <c r="D784" s="55" t="s">
        <v>3924</v>
      </c>
      <c r="E784" s="55" t="s">
        <v>3925</v>
      </c>
      <c r="F784" s="55" t="s">
        <v>2247</v>
      </c>
      <c r="G784" s="55" t="s">
        <v>3926</v>
      </c>
      <c r="I784" s="55" t="s">
        <v>891</v>
      </c>
    </row>
    <row r="785" customFormat="false" ht="11.25" hidden="false" customHeight="true" outlineLevel="0" collapsed="false">
      <c r="A785" s="55" t="s">
        <v>2243</v>
      </c>
      <c r="B785" s="55" t="s">
        <v>16</v>
      </c>
      <c r="C785" s="55" t="s">
        <v>3931</v>
      </c>
      <c r="D785" s="55" t="s">
        <v>3932</v>
      </c>
      <c r="E785" s="55" t="s">
        <v>3933</v>
      </c>
      <c r="F785" s="55" t="s">
        <v>2318</v>
      </c>
      <c r="G785" s="55" t="s">
        <v>3934</v>
      </c>
      <c r="I785" s="55" t="s">
        <v>891</v>
      </c>
    </row>
    <row r="786" customFormat="false" ht="11.25" hidden="false" customHeight="true" outlineLevel="0" collapsed="false">
      <c r="A786" s="55" t="s">
        <v>2243</v>
      </c>
      <c r="B786" s="55" t="s">
        <v>16</v>
      </c>
      <c r="C786" s="55" t="s">
        <v>3935</v>
      </c>
      <c r="D786" s="55" t="s">
        <v>3936</v>
      </c>
      <c r="E786" s="55" t="s">
        <v>3937</v>
      </c>
      <c r="F786" s="55" t="s">
        <v>2470</v>
      </c>
      <c r="I786" s="55" t="s">
        <v>891</v>
      </c>
    </row>
    <row r="787" customFormat="false" ht="11.25" hidden="false" customHeight="true" outlineLevel="0" collapsed="false">
      <c r="A787" s="55" t="s">
        <v>2243</v>
      </c>
      <c r="B787" s="55" t="s">
        <v>16</v>
      </c>
      <c r="C787" s="55" t="s">
        <v>3938</v>
      </c>
      <c r="D787" s="55" t="s">
        <v>3939</v>
      </c>
      <c r="E787" s="55" t="s">
        <v>3940</v>
      </c>
      <c r="F787" s="55" t="s">
        <v>2314</v>
      </c>
      <c r="I787" s="55" t="s">
        <v>891</v>
      </c>
    </row>
    <row r="788" customFormat="false" ht="11.25" hidden="false" customHeight="true" outlineLevel="0" collapsed="false">
      <c r="A788" s="55" t="s">
        <v>2243</v>
      </c>
      <c r="B788" s="55" t="s">
        <v>16</v>
      </c>
      <c r="C788" s="55" t="s">
        <v>3959</v>
      </c>
      <c r="D788" s="55" t="s">
        <v>3960</v>
      </c>
      <c r="E788" s="55" t="s">
        <v>3961</v>
      </c>
      <c r="F788" s="55" t="s">
        <v>2470</v>
      </c>
      <c r="I788" s="55" t="s">
        <v>891</v>
      </c>
    </row>
    <row r="789" customFormat="false" ht="11.25" hidden="false" customHeight="true" outlineLevel="0" collapsed="false">
      <c r="A789" s="55" t="s">
        <v>2243</v>
      </c>
      <c r="B789" s="55" t="s">
        <v>16</v>
      </c>
      <c r="C789" s="55" t="s">
        <v>3971</v>
      </c>
      <c r="D789" s="55" t="s">
        <v>3972</v>
      </c>
      <c r="E789" s="55" t="s">
        <v>3973</v>
      </c>
      <c r="F789" s="55" t="s">
        <v>2333</v>
      </c>
      <c r="G789" s="55" t="s">
        <v>3974</v>
      </c>
      <c r="I789" s="55" t="s">
        <v>891</v>
      </c>
    </row>
    <row r="790" customFormat="false" ht="11.25" hidden="false" customHeight="true" outlineLevel="0" collapsed="false">
      <c r="A790" s="55" t="s">
        <v>2243</v>
      </c>
      <c r="B790" s="55" t="s">
        <v>16</v>
      </c>
      <c r="C790" s="55" t="s">
        <v>3978</v>
      </c>
      <c r="D790" s="55" t="s">
        <v>3979</v>
      </c>
      <c r="E790" s="55" t="s">
        <v>3980</v>
      </c>
      <c r="F790" s="55" t="s">
        <v>3981</v>
      </c>
      <c r="G790" s="55" t="s">
        <v>3982</v>
      </c>
      <c r="I790" s="55" t="s">
        <v>891</v>
      </c>
    </row>
    <row r="791" customFormat="false" ht="11.25" hidden="false" customHeight="true" outlineLevel="0" collapsed="false">
      <c r="A791" s="55" t="s">
        <v>2243</v>
      </c>
      <c r="B791" s="55" t="s">
        <v>16</v>
      </c>
      <c r="C791" s="55" t="s">
        <v>3983</v>
      </c>
      <c r="D791" s="55" t="s">
        <v>3984</v>
      </c>
      <c r="E791" s="55" t="s">
        <v>3985</v>
      </c>
      <c r="F791" s="55" t="s">
        <v>3986</v>
      </c>
      <c r="I791" s="55" t="s">
        <v>891</v>
      </c>
    </row>
    <row r="792" customFormat="false" ht="11.25" hidden="false" customHeight="true" outlineLevel="0" collapsed="false">
      <c r="A792" s="55" t="s">
        <v>2243</v>
      </c>
      <c r="B792" s="55" t="s">
        <v>16</v>
      </c>
      <c r="C792" s="55" t="s">
        <v>4003</v>
      </c>
      <c r="D792" s="55" t="s">
        <v>4004</v>
      </c>
      <c r="E792" s="55" t="s">
        <v>4005</v>
      </c>
      <c r="F792" s="55" t="s">
        <v>2387</v>
      </c>
      <c r="G792" s="55" t="s">
        <v>4006</v>
      </c>
      <c r="I792" s="55" t="s">
        <v>891</v>
      </c>
    </row>
    <row r="793" customFormat="false" ht="11.25" hidden="false" customHeight="true" outlineLevel="0" collapsed="false">
      <c r="A793" s="55" t="s">
        <v>2243</v>
      </c>
      <c r="B793" s="55" t="s">
        <v>16</v>
      </c>
      <c r="C793" s="55" t="s">
        <v>4010</v>
      </c>
      <c r="D793" s="55" t="s">
        <v>4011</v>
      </c>
      <c r="E793" s="55" t="s">
        <v>4012</v>
      </c>
      <c r="F793" s="55" t="s">
        <v>2329</v>
      </c>
      <c r="G793" s="55" t="s">
        <v>4013</v>
      </c>
      <c r="I793" s="55" t="s">
        <v>891</v>
      </c>
    </row>
    <row r="794" customFormat="false" ht="11.25" hidden="false" customHeight="true" outlineLevel="0" collapsed="false">
      <c r="A794" s="55" t="s">
        <v>2243</v>
      </c>
      <c r="B794" s="55" t="s">
        <v>16</v>
      </c>
      <c r="C794" s="55" t="s">
        <v>4020</v>
      </c>
      <c r="D794" s="55" t="s">
        <v>4021</v>
      </c>
      <c r="E794" s="55" t="s">
        <v>4022</v>
      </c>
      <c r="F794" s="55" t="s">
        <v>2757</v>
      </c>
      <c r="I794" s="55" t="s">
        <v>891</v>
      </c>
    </row>
    <row r="795" customFormat="false" ht="11.25" hidden="false" customHeight="true" outlineLevel="0" collapsed="false">
      <c r="A795" s="55" t="s">
        <v>2243</v>
      </c>
      <c r="B795" s="55" t="s">
        <v>16</v>
      </c>
      <c r="C795" s="55" t="s">
        <v>4027</v>
      </c>
      <c r="D795" s="55" t="s">
        <v>4028</v>
      </c>
      <c r="E795" s="55" t="s">
        <v>4029</v>
      </c>
      <c r="F795" s="55" t="s">
        <v>2566</v>
      </c>
      <c r="G795" s="55" t="s">
        <v>4030</v>
      </c>
      <c r="I795" s="55" t="s">
        <v>891</v>
      </c>
    </row>
    <row r="796" customFormat="false" ht="11.25" hidden="false" customHeight="true" outlineLevel="0" collapsed="false">
      <c r="A796" s="55" t="s">
        <v>2243</v>
      </c>
      <c r="B796" s="55" t="s">
        <v>16</v>
      </c>
      <c r="C796" s="55" t="s">
        <v>4031</v>
      </c>
      <c r="D796" s="55" t="s">
        <v>4032</v>
      </c>
      <c r="E796" s="55" t="s">
        <v>4033</v>
      </c>
      <c r="F796" s="55" t="s">
        <v>2301</v>
      </c>
      <c r="I796" s="55" t="s">
        <v>891</v>
      </c>
    </row>
    <row r="797" customFormat="false" ht="11.25" hidden="false" customHeight="true" outlineLevel="0" collapsed="false">
      <c r="A797" s="55" t="s">
        <v>2243</v>
      </c>
      <c r="B797" s="55" t="s">
        <v>16</v>
      </c>
      <c r="C797" s="55" t="s">
        <v>4047</v>
      </c>
      <c r="D797" s="55" t="s">
        <v>4048</v>
      </c>
      <c r="E797" s="55" t="s">
        <v>4049</v>
      </c>
      <c r="F797" s="55" t="s">
        <v>2357</v>
      </c>
      <c r="I797" s="55" t="s">
        <v>891</v>
      </c>
    </row>
    <row r="798" customFormat="false" ht="11.25" hidden="false" customHeight="true" outlineLevel="0" collapsed="false">
      <c r="A798" s="55" t="s">
        <v>2243</v>
      </c>
      <c r="B798" s="55" t="s">
        <v>16</v>
      </c>
      <c r="C798" s="55" t="s">
        <v>4066</v>
      </c>
      <c r="D798" s="55" t="s">
        <v>4067</v>
      </c>
      <c r="E798" s="55" t="s">
        <v>4068</v>
      </c>
      <c r="F798" s="55" t="s">
        <v>2318</v>
      </c>
      <c r="G798" s="55" t="s">
        <v>4069</v>
      </c>
      <c r="I798" s="55" t="s">
        <v>891</v>
      </c>
    </row>
    <row r="799" customFormat="false" ht="11.25" hidden="false" customHeight="true" outlineLevel="0" collapsed="false">
      <c r="A799" s="55" t="s">
        <v>2243</v>
      </c>
      <c r="B799" s="55" t="s">
        <v>16</v>
      </c>
      <c r="C799" s="55" t="s">
        <v>4076</v>
      </c>
      <c r="D799" s="55" t="s">
        <v>4077</v>
      </c>
      <c r="E799" s="55" t="s">
        <v>4078</v>
      </c>
      <c r="F799" s="55" t="s">
        <v>2566</v>
      </c>
      <c r="G799" s="55" t="s">
        <v>4079</v>
      </c>
      <c r="H799" s="55" t="s">
        <v>4080</v>
      </c>
      <c r="I799" s="55" t="s">
        <v>891</v>
      </c>
    </row>
    <row r="800" customFormat="false" ht="11.25" hidden="false" customHeight="true" outlineLevel="0" collapsed="false">
      <c r="A800" s="55" t="s">
        <v>2243</v>
      </c>
      <c r="B800" s="55" t="s">
        <v>16</v>
      </c>
      <c r="C800" s="55" t="s">
        <v>4130</v>
      </c>
      <c r="D800" s="55" t="s">
        <v>4131</v>
      </c>
      <c r="E800" s="55" t="s">
        <v>4132</v>
      </c>
      <c r="F800" s="55" t="s">
        <v>2309</v>
      </c>
      <c r="G800" s="55" t="s">
        <v>4133</v>
      </c>
      <c r="I800" s="55" t="s">
        <v>891</v>
      </c>
    </row>
    <row r="801" customFormat="false" ht="11.25" hidden="false" customHeight="true" outlineLevel="0" collapsed="false">
      <c r="A801" s="55" t="s">
        <v>2243</v>
      </c>
      <c r="B801" s="55" t="s">
        <v>16</v>
      </c>
      <c r="C801" s="55" t="s">
        <v>4134</v>
      </c>
      <c r="D801" s="55" t="s">
        <v>4135</v>
      </c>
      <c r="E801" s="55" t="s">
        <v>4136</v>
      </c>
      <c r="F801" s="55" t="s">
        <v>2309</v>
      </c>
      <c r="I801" s="55" t="s">
        <v>891</v>
      </c>
    </row>
    <row r="802" customFormat="false" ht="11.25" hidden="false" customHeight="true" outlineLevel="0" collapsed="false">
      <c r="A802" s="55" t="s">
        <v>2243</v>
      </c>
      <c r="B802" s="55" t="s">
        <v>16</v>
      </c>
      <c r="C802" s="55" t="s">
        <v>4137</v>
      </c>
      <c r="D802" s="55" t="s">
        <v>4138</v>
      </c>
      <c r="E802" s="55" t="s">
        <v>4139</v>
      </c>
      <c r="F802" s="55" t="s">
        <v>2357</v>
      </c>
      <c r="I802" s="55" t="s">
        <v>891</v>
      </c>
    </row>
    <row r="803" customFormat="false" ht="11.25" hidden="false" customHeight="true" outlineLevel="0" collapsed="false">
      <c r="A803" s="55" t="s">
        <v>2243</v>
      </c>
      <c r="B803" s="55" t="s">
        <v>16</v>
      </c>
      <c r="C803" s="55" t="s">
        <v>4144</v>
      </c>
      <c r="D803" s="55" t="s">
        <v>4145</v>
      </c>
      <c r="E803" s="55" t="s">
        <v>4146</v>
      </c>
      <c r="F803" s="55" t="s">
        <v>2329</v>
      </c>
      <c r="G803" s="55" t="s">
        <v>4147</v>
      </c>
      <c r="I803" s="55" t="s">
        <v>891</v>
      </c>
    </row>
    <row r="804" customFormat="false" ht="11.25" hidden="false" customHeight="true" outlineLevel="0" collapsed="false">
      <c r="A804" s="55" t="s">
        <v>2243</v>
      </c>
      <c r="B804" s="55" t="s">
        <v>16</v>
      </c>
      <c r="C804" s="55" t="s">
        <v>4152</v>
      </c>
      <c r="D804" s="55" t="s">
        <v>4153</v>
      </c>
      <c r="E804" s="55" t="s">
        <v>4154</v>
      </c>
      <c r="F804" s="55" t="s">
        <v>4155</v>
      </c>
      <c r="G804" s="55" t="s">
        <v>4156</v>
      </c>
      <c r="I804" s="55" t="s">
        <v>891</v>
      </c>
    </row>
    <row r="805" customFormat="false" ht="11.25" hidden="false" customHeight="true" outlineLevel="0" collapsed="false">
      <c r="A805" s="55" t="s">
        <v>2243</v>
      </c>
      <c r="B805" s="55" t="s">
        <v>16</v>
      </c>
      <c r="C805" s="55" t="s">
        <v>4161</v>
      </c>
      <c r="D805" s="55" t="s">
        <v>4162</v>
      </c>
      <c r="E805" s="55" t="s">
        <v>4163</v>
      </c>
      <c r="F805" s="55" t="s">
        <v>2318</v>
      </c>
      <c r="I805" s="55" t="s">
        <v>891</v>
      </c>
    </row>
    <row r="806" customFormat="false" ht="11.25" hidden="false" customHeight="true" outlineLevel="0" collapsed="false">
      <c r="A806" s="55" t="s">
        <v>2243</v>
      </c>
      <c r="B806" s="55" t="s">
        <v>16</v>
      </c>
      <c r="C806" s="55" t="s">
        <v>4170</v>
      </c>
      <c r="D806" s="55" t="s">
        <v>4171</v>
      </c>
      <c r="E806" s="55" t="s">
        <v>4172</v>
      </c>
      <c r="F806" s="55" t="s">
        <v>2520</v>
      </c>
      <c r="I806" s="55" t="s">
        <v>891</v>
      </c>
    </row>
    <row r="807" customFormat="false" ht="11.25" hidden="false" customHeight="true" outlineLevel="0" collapsed="false">
      <c r="A807" s="55" t="s">
        <v>2243</v>
      </c>
      <c r="B807" s="55" t="s">
        <v>16</v>
      </c>
      <c r="D807" s="55" t="s">
        <v>4173</v>
      </c>
      <c r="E807" s="55" t="s">
        <v>4174</v>
      </c>
      <c r="F807" s="55" t="s">
        <v>2371</v>
      </c>
      <c r="I807" s="55" t="s">
        <v>891</v>
      </c>
    </row>
    <row r="808" customFormat="false" ht="11.25" hidden="false" customHeight="true" outlineLevel="0" collapsed="false">
      <c r="A808" s="55" t="s">
        <v>2243</v>
      </c>
      <c r="B808" s="55" t="s">
        <v>16</v>
      </c>
      <c r="C808" s="55" t="s">
        <v>4182</v>
      </c>
      <c r="D808" s="55" t="s">
        <v>4183</v>
      </c>
      <c r="E808" s="55" t="s">
        <v>4184</v>
      </c>
      <c r="F808" s="55" t="s">
        <v>3802</v>
      </c>
      <c r="I808" s="55" t="s">
        <v>891</v>
      </c>
    </row>
    <row r="809" customFormat="false" ht="11.25" hidden="false" customHeight="true" outlineLevel="0" collapsed="false">
      <c r="A809" s="55" t="s">
        <v>2243</v>
      </c>
      <c r="B809" s="55" t="s">
        <v>16</v>
      </c>
      <c r="C809" s="55" t="s">
        <v>4188</v>
      </c>
      <c r="D809" s="55" t="s">
        <v>4189</v>
      </c>
      <c r="E809" s="55" t="s">
        <v>4190</v>
      </c>
      <c r="F809" s="55" t="s">
        <v>3642</v>
      </c>
      <c r="I809" s="55" t="s">
        <v>891</v>
      </c>
    </row>
    <row r="810" customFormat="false" ht="11.25" hidden="false" customHeight="true" outlineLevel="0" collapsed="false">
      <c r="A810" s="55" t="s">
        <v>2243</v>
      </c>
      <c r="B810" s="55" t="s">
        <v>16</v>
      </c>
      <c r="C810" s="55" t="s">
        <v>4194</v>
      </c>
      <c r="D810" s="55" t="s">
        <v>4195</v>
      </c>
      <c r="E810" s="55" t="s">
        <v>4196</v>
      </c>
      <c r="F810" s="55" t="s">
        <v>2247</v>
      </c>
      <c r="G810" s="55" t="s">
        <v>4197</v>
      </c>
      <c r="I810" s="55" t="s">
        <v>891</v>
      </c>
    </row>
    <row r="811" customFormat="false" ht="11.25" hidden="false" customHeight="true" outlineLevel="0" collapsed="false">
      <c r="A811" s="55" t="s">
        <v>2243</v>
      </c>
      <c r="B811" s="55" t="s">
        <v>16</v>
      </c>
      <c r="C811" s="55" t="s">
        <v>4202</v>
      </c>
      <c r="D811" s="55" t="s">
        <v>4203</v>
      </c>
      <c r="E811" s="55" t="s">
        <v>4204</v>
      </c>
      <c r="F811" s="55" t="s">
        <v>4205</v>
      </c>
      <c r="G811" s="55" t="s">
        <v>4206</v>
      </c>
      <c r="I811" s="55" t="s">
        <v>891</v>
      </c>
    </row>
    <row r="812" customFormat="false" ht="11.25" hidden="false" customHeight="true" outlineLevel="0" collapsed="false">
      <c r="A812" s="55" t="s">
        <v>2243</v>
      </c>
      <c r="B812" s="55" t="s">
        <v>16</v>
      </c>
      <c r="C812" s="55" t="s">
        <v>4207</v>
      </c>
      <c r="D812" s="55" t="s">
        <v>4208</v>
      </c>
      <c r="E812" s="55" t="s">
        <v>4209</v>
      </c>
      <c r="F812" s="55" t="s">
        <v>4210</v>
      </c>
      <c r="I812" s="55" t="s">
        <v>891</v>
      </c>
    </row>
    <row r="813" customFormat="false" ht="11.25" hidden="false" customHeight="true" outlineLevel="0" collapsed="false">
      <c r="A813" s="55" t="s">
        <v>2243</v>
      </c>
      <c r="B813" s="55" t="s">
        <v>16</v>
      </c>
      <c r="C813" s="55" t="s">
        <v>4214</v>
      </c>
      <c r="D813" s="55" t="s">
        <v>4215</v>
      </c>
      <c r="E813" s="55" t="s">
        <v>4216</v>
      </c>
      <c r="F813" s="55" t="s">
        <v>2247</v>
      </c>
      <c r="G813" s="55" t="s">
        <v>4217</v>
      </c>
      <c r="I813" s="55" t="s">
        <v>891</v>
      </c>
    </row>
    <row r="814" customFormat="false" ht="11.25" hidden="false" customHeight="true" outlineLevel="0" collapsed="false">
      <c r="A814" s="55" t="s">
        <v>2243</v>
      </c>
      <c r="B814" s="55" t="s">
        <v>16</v>
      </c>
      <c r="C814" s="55" t="s">
        <v>4218</v>
      </c>
      <c r="D814" s="55" t="s">
        <v>4219</v>
      </c>
      <c r="E814" s="55" t="s">
        <v>4220</v>
      </c>
      <c r="F814" s="55" t="s">
        <v>2371</v>
      </c>
      <c r="I814" s="55" t="s">
        <v>891</v>
      </c>
    </row>
    <row r="815" customFormat="false" ht="11.25" hidden="false" customHeight="true" outlineLevel="0" collapsed="false">
      <c r="A815" s="55" t="s">
        <v>2243</v>
      </c>
      <c r="B815" s="55" t="s">
        <v>16</v>
      </c>
      <c r="C815" s="55" t="s">
        <v>4231</v>
      </c>
      <c r="D815" s="55" t="s">
        <v>4232</v>
      </c>
      <c r="E815" s="55" t="s">
        <v>4233</v>
      </c>
      <c r="F815" s="55" t="s">
        <v>2329</v>
      </c>
      <c r="I815" s="55" t="s">
        <v>891</v>
      </c>
    </row>
    <row r="816" customFormat="false" ht="11.25" hidden="false" customHeight="true" outlineLevel="0" collapsed="false">
      <c r="A816" s="55" t="s">
        <v>2243</v>
      </c>
      <c r="B816" s="55" t="s">
        <v>16</v>
      </c>
      <c r="C816" s="55" t="s">
        <v>4234</v>
      </c>
      <c r="D816" s="55" t="s">
        <v>4235</v>
      </c>
      <c r="E816" s="55" t="s">
        <v>4236</v>
      </c>
      <c r="F816" s="55" t="s">
        <v>2347</v>
      </c>
      <c r="G816" s="55" t="s">
        <v>4237</v>
      </c>
      <c r="I816" s="55" t="s">
        <v>891</v>
      </c>
    </row>
    <row r="817" customFormat="false" ht="11.25" hidden="false" customHeight="true" outlineLevel="0" collapsed="false">
      <c r="A817" s="55" t="s">
        <v>2243</v>
      </c>
      <c r="B817" s="55" t="s">
        <v>16</v>
      </c>
      <c r="C817" s="55" t="s">
        <v>4238</v>
      </c>
      <c r="D817" s="55" t="s">
        <v>4239</v>
      </c>
      <c r="E817" s="55" t="s">
        <v>4240</v>
      </c>
      <c r="F817" s="55" t="s">
        <v>2558</v>
      </c>
      <c r="I817" s="55" t="s">
        <v>891</v>
      </c>
    </row>
    <row r="818" customFormat="false" ht="11.25" hidden="false" customHeight="true" outlineLevel="0" collapsed="false">
      <c r="A818" s="55" t="s">
        <v>2243</v>
      </c>
      <c r="B818" s="55" t="s">
        <v>16</v>
      </c>
      <c r="C818" s="55" t="s">
        <v>4244</v>
      </c>
      <c r="D818" s="55" t="s">
        <v>4245</v>
      </c>
      <c r="E818" s="55" t="s">
        <v>4220</v>
      </c>
      <c r="F818" s="55" t="s">
        <v>2749</v>
      </c>
      <c r="G818" s="55" t="s">
        <v>4246</v>
      </c>
      <c r="I818" s="55" t="s">
        <v>891</v>
      </c>
    </row>
    <row r="819" customFormat="false" ht="11.25" hidden="false" customHeight="true" outlineLevel="0" collapsed="false">
      <c r="A819" s="55" t="s">
        <v>2243</v>
      </c>
      <c r="B819" s="55" t="s">
        <v>16</v>
      </c>
      <c r="C819" s="55" t="s">
        <v>4250</v>
      </c>
      <c r="D819" s="55" t="s">
        <v>4251</v>
      </c>
      <c r="E819" s="55" t="s">
        <v>4154</v>
      </c>
      <c r="F819" s="55" t="s">
        <v>4252</v>
      </c>
      <c r="G819" s="55" t="s">
        <v>4253</v>
      </c>
      <c r="I819" s="55" t="s">
        <v>891</v>
      </c>
    </row>
    <row r="820" customFormat="false" ht="11.25" hidden="false" customHeight="true" outlineLevel="0" collapsed="false">
      <c r="A820" s="55" t="s">
        <v>2243</v>
      </c>
      <c r="B820" s="55" t="s">
        <v>16</v>
      </c>
      <c r="C820" s="55" t="s">
        <v>4254</v>
      </c>
      <c r="D820" s="55" t="s">
        <v>4255</v>
      </c>
      <c r="E820" s="55" t="s">
        <v>2557</v>
      </c>
      <c r="F820" s="55" t="s">
        <v>4256</v>
      </c>
      <c r="I820" s="55" t="s">
        <v>891</v>
      </c>
    </row>
    <row r="821" customFormat="false" ht="11.25" hidden="false" customHeight="true" outlineLevel="0" collapsed="false">
      <c r="A821" s="55" t="s">
        <v>2243</v>
      </c>
      <c r="B821" s="55" t="s">
        <v>16</v>
      </c>
      <c r="C821" s="55" t="s">
        <v>4264</v>
      </c>
      <c r="D821" s="55" t="s">
        <v>4265</v>
      </c>
      <c r="E821" s="55" t="s">
        <v>4266</v>
      </c>
      <c r="F821" s="55" t="s">
        <v>4267</v>
      </c>
      <c r="I821" s="55" t="s">
        <v>891</v>
      </c>
    </row>
    <row r="822" customFormat="false" ht="11.25" hidden="false" customHeight="true" outlineLevel="0" collapsed="false">
      <c r="A822" s="55" t="s">
        <v>2243</v>
      </c>
      <c r="B822" s="55" t="s">
        <v>16</v>
      </c>
      <c r="C822" s="55" t="s">
        <v>2244</v>
      </c>
      <c r="D822" s="55" t="s">
        <v>2245</v>
      </c>
      <c r="E822" s="55" t="s">
        <v>2246</v>
      </c>
      <c r="F822" s="55" t="s">
        <v>2247</v>
      </c>
      <c r="G822" s="55" t="s">
        <v>2248</v>
      </c>
      <c r="I822" s="55" t="s">
        <v>851</v>
      </c>
    </row>
    <row r="823" customFormat="false" ht="11.25" hidden="false" customHeight="true" outlineLevel="0" collapsed="false">
      <c r="A823" s="55" t="s">
        <v>2243</v>
      </c>
      <c r="B823" s="55" t="s">
        <v>16</v>
      </c>
      <c r="C823" s="55" t="s">
        <v>4280</v>
      </c>
      <c r="D823" s="55" t="s">
        <v>4281</v>
      </c>
      <c r="E823" s="55" t="s">
        <v>4282</v>
      </c>
      <c r="F823" s="55" t="s">
        <v>2291</v>
      </c>
      <c r="I823" s="55" t="s">
        <v>851</v>
      </c>
    </row>
    <row r="824" customFormat="false" ht="11.25" hidden="false" customHeight="true" outlineLevel="0" collapsed="false">
      <c r="A824" s="55" t="s">
        <v>2243</v>
      </c>
      <c r="B824" s="55" t="s">
        <v>16</v>
      </c>
      <c r="C824" s="55" t="s">
        <v>2253</v>
      </c>
      <c r="D824" s="55" t="s">
        <v>2254</v>
      </c>
      <c r="E824" s="55" t="s">
        <v>2255</v>
      </c>
      <c r="F824" s="55" t="s">
        <v>2256</v>
      </c>
      <c r="G824" s="55" t="s">
        <v>2257</v>
      </c>
      <c r="I824" s="55" t="s">
        <v>851</v>
      </c>
    </row>
    <row r="825" customFormat="false" ht="11.25" hidden="false" customHeight="true" outlineLevel="0" collapsed="false">
      <c r="A825" s="55" t="s">
        <v>2243</v>
      </c>
      <c r="B825" s="55" t="s">
        <v>16</v>
      </c>
      <c r="C825" s="55" t="s">
        <v>2262</v>
      </c>
      <c r="D825" s="55" t="s">
        <v>2263</v>
      </c>
      <c r="E825" s="55" t="s">
        <v>2264</v>
      </c>
      <c r="F825" s="55" t="s">
        <v>2265</v>
      </c>
      <c r="I825" s="55" t="s">
        <v>851</v>
      </c>
    </row>
    <row r="826" customFormat="false" ht="11.25" hidden="false" customHeight="true" outlineLevel="0" collapsed="false">
      <c r="A826" s="55" t="s">
        <v>2243</v>
      </c>
      <c r="B826" s="55" t="s">
        <v>16</v>
      </c>
      <c r="C826" s="55" t="s">
        <v>2266</v>
      </c>
      <c r="D826" s="55" t="s">
        <v>2267</v>
      </c>
      <c r="E826" s="55" t="s">
        <v>2268</v>
      </c>
      <c r="F826" s="55" t="s">
        <v>2269</v>
      </c>
      <c r="G826" s="55" t="s">
        <v>2270</v>
      </c>
      <c r="I826" s="55" t="s">
        <v>851</v>
      </c>
    </row>
    <row r="827" customFormat="false" ht="11.25" hidden="false" customHeight="true" outlineLevel="0" collapsed="false">
      <c r="A827" s="55" t="s">
        <v>2243</v>
      </c>
      <c r="B827" s="55" t="s">
        <v>16</v>
      </c>
      <c r="C827" s="55" t="s">
        <v>4283</v>
      </c>
      <c r="D827" s="55" t="s">
        <v>4284</v>
      </c>
      <c r="E827" s="55" t="s">
        <v>4285</v>
      </c>
      <c r="F827" s="55" t="s">
        <v>4286</v>
      </c>
      <c r="I827" s="55" t="s">
        <v>851</v>
      </c>
    </row>
    <row r="828" customFormat="false" ht="11.25" hidden="false" customHeight="true" outlineLevel="0" collapsed="false">
      <c r="A828" s="55" t="s">
        <v>2243</v>
      </c>
      <c r="B828" s="55" t="s">
        <v>16</v>
      </c>
      <c r="C828" s="55" t="s">
        <v>2275</v>
      </c>
      <c r="D828" s="55" t="s">
        <v>2276</v>
      </c>
      <c r="E828" s="55" t="s">
        <v>2277</v>
      </c>
      <c r="F828" s="55" t="s">
        <v>2278</v>
      </c>
      <c r="G828" s="55" t="s">
        <v>2279</v>
      </c>
      <c r="I828" s="55" t="s">
        <v>851</v>
      </c>
    </row>
    <row r="829" customFormat="false" ht="11.25" hidden="false" customHeight="true" outlineLevel="0" collapsed="false">
      <c r="A829" s="55" t="s">
        <v>2243</v>
      </c>
      <c r="B829" s="55" t="s">
        <v>16</v>
      </c>
      <c r="C829" s="55" t="s">
        <v>2280</v>
      </c>
      <c r="D829" s="55" t="s">
        <v>2281</v>
      </c>
      <c r="E829" s="55" t="s">
        <v>2282</v>
      </c>
      <c r="F829" s="55" t="s">
        <v>2283</v>
      </c>
      <c r="I829" s="55" t="s">
        <v>851</v>
      </c>
    </row>
    <row r="830" customFormat="false" ht="11.25" hidden="false" customHeight="true" outlineLevel="0" collapsed="false">
      <c r="A830" s="55" t="s">
        <v>2243</v>
      </c>
      <c r="B830" s="55" t="s">
        <v>16</v>
      </c>
      <c r="C830" s="55" t="s">
        <v>2288</v>
      </c>
      <c r="D830" s="55" t="s">
        <v>2289</v>
      </c>
      <c r="E830" s="55" t="s">
        <v>2290</v>
      </c>
      <c r="F830" s="55" t="s">
        <v>2291</v>
      </c>
      <c r="I830" s="55" t="s">
        <v>851</v>
      </c>
    </row>
    <row r="831" customFormat="false" ht="11.25" hidden="false" customHeight="true" outlineLevel="0" collapsed="false">
      <c r="A831" s="55" t="s">
        <v>2243</v>
      </c>
      <c r="B831" s="55" t="s">
        <v>16</v>
      </c>
      <c r="C831" s="55" t="s">
        <v>2295</v>
      </c>
      <c r="D831" s="55" t="s">
        <v>2296</v>
      </c>
      <c r="E831" s="55" t="s">
        <v>2297</v>
      </c>
      <c r="F831" s="55" t="s">
        <v>2298</v>
      </c>
      <c r="I831" s="55" t="s">
        <v>851</v>
      </c>
    </row>
    <row r="832" customFormat="false" ht="11.25" hidden="false" customHeight="true" outlineLevel="0" collapsed="false">
      <c r="A832" s="55" t="s">
        <v>2243</v>
      </c>
      <c r="B832" s="55" t="s">
        <v>16</v>
      </c>
      <c r="C832" s="55" t="s">
        <v>2299</v>
      </c>
      <c r="D832" s="55" t="s">
        <v>2300</v>
      </c>
      <c r="E832" s="55" t="s">
        <v>2297</v>
      </c>
      <c r="F832" s="55" t="s">
        <v>2301</v>
      </c>
      <c r="G832" s="55" t="s">
        <v>2302</v>
      </c>
      <c r="I832" s="55" t="s">
        <v>851</v>
      </c>
    </row>
    <row r="833" customFormat="false" ht="11.25" hidden="false" customHeight="true" outlineLevel="0" collapsed="false">
      <c r="A833" s="55" t="s">
        <v>2243</v>
      </c>
      <c r="B833" s="55" t="s">
        <v>16</v>
      </c>
      <c r="C833" s="55" t="s">
        <v>2306</v>
      </c>
      <c r="D833" s="55" t="s">
        <v>2307</v>
      </c>
      <c r="E833" s="55" t="s">
        <v>2308</v>
      </c>
      <c r="F833" s="55" t="s">
        <v>2309</v>
      </c>
      <c r="G833" s="55" t="s">
        <v>2310</v>
      </c>
      <c r="I833" s="55" t="s">
        <v>851</v>
      </c>
    </row>
    <row r="834" customFormat="false" ht="11.25" hidden="false" customHeight="true" outlineLevel="0" collapsed="false">
      <c r="A834" s="55" t="s">
        <v>2243</v>
      </c>
      <c r="B834" s="55" t="s">
        <v>16</v>
      </c>
      <c r="C834" s="55" t="s">
        <v>2315</v>
      </c>
      <c r="D834" s="55" t="s">
        <v>2316</v>
      </c>
      <c r="E834" s="55" t="s">
        <v>2317</v>
      </c>
      <c r="F834" s="55" t="s">
        <v>2318</v>
      </c>
      <c r="G834" s="55" t="s">
        <v>2319</v>
      </c>
      <c r="I834" s="55" t="s">
        <v>851</v>
      </c>
    </row>
    <row r="835" customFormat="false" ht="11.25" hidden="false" customHeight="true" outlineLevel="0" collapsed="false">
      <c r="A835" s="55" t="s">
        <v>2243</v>
      </c>
      <c r="B835" s="55" t="s">
        <v>16</v>
      </c>
      <c r="C835" s="55" t="s">
        <v>2320</v>
      </c>
      <c r="D835" s="55" t="s">
        <v>2321</v>
      </c>
      <c r="E835" s="55" t="s">
        <v>2322</v>
      </c>
      <c r="F835" s="55" t="s">
        <v>2247</v>
      </c>
      <c r="I835" s="55" t="s">
        <v>851</v>
      </c>
    </row>
    <row r="836" customFormat="false" ht="11.25" hidden="false" customHeight="true" outlineLevel="0" collapsed="false">
      <c r="A836" s="55" t="s">
        <v>2243</v>
      </c>
      <c r="B836" s="55" t="s">
        <v>16</v>
      </c>
      <c r="C836" s="55" t="s">
        <v>4287</v>
      </c>
      <c r="D836" s="55" t="s">
        <v>4288</v>
      </c>
      <c r="E836" s="55" t="s">
        <v>4289</v>
      </c>
      <c r="F836" s="55" t="s">
        <v>3912</v>
      </c>
      <c r="I836" s="55" t="s">
        <v>851</v>
      </c>
    </row>
    <row r="837" customFormat="false" ht="11.25" hidden="false" customHeight="true" outlineLevel="0" collapsed="false">
      <c r="A837" s="55" t="s">
        <v>2243</v>
      </c>
      <c r="B837" s="55" t="s">
        <v>16</v>
      </c>
      <c r="C837" s="55" t="s">
        <v>2330</v>
      </c>
      <c r="D837" s="55" t="s">
        <v>2331</v>
      </c>
      <c r="E837" s="55" t="s">
        <v>2332</v>
      </c>
      <c r="F837" s="55" t="s">
        <v>2333</v>
      </c>
      <c r="G837" s="55" t="s">
        <v>2334</v>
      </c>
      <c r="I837" s="55" t="s">
        <v>851</v>
      </c>
    </row>
    <row r="838" customFormat="false" ht="11.25" hidden="false" customHeight="true" outlineLevel="0" collapsed="false">
      <c r="A838" s="55" t="s">
        <v>2243</v>
      </c>
      <c r="B838" s="55" t="s">
        <v>16</v>
      </c>
      <c r="C838" s="55" t="s">
        <v>2339</v>
      </c>
      <c r="D838" s="55" t="s">
        <v>2340</v>
      </c>
      <c r="E838" s="55" t="s">
        <v>2341</v>
      </c>
      <c r="F838" s="55" t="s">
        <v>2342</v>
      </c>
      <c r="G838" s="55" t="s">
        <v>2343</v>
      </c>
      <c r="I838" s="55" t="s">
        <v>851</v>
      </c>
    </row>
    <row r="839" customFormat="false" ht="11.25" hidden="false" customHeight="true" outlineLevel="0" collapsed="false">
      <c r="A839" s="55" t="s">
        <v>2243</v>
      </c>
      <c r="B839" s="55" t="s">
        <v>16</v>
      </c>
      <c r="C839" s="55" t="s">
        <v>2344</v>
      </c>
      <c r="D839" s="55" t="s">
        <v>2345</v>
      </c>
      <c r="E839" s="55" t="s">
        <v>2346</v>
      </c>
      <c r="F839" s="55" t="s">
        <v>2347</v>
      </c>
      <c r="I839" s="55" t="s">
        <v>851</v>
      </c>
    </row>
    <row r="840" customFormat="false" ht="11.25" hidden="false" customHeight="true" outlineLevel="0" collapsed="false">
      <c r="A840" s="55" t="s">
        <v>2243</v>
      </c>
      <c r="B840" s="55" t="s">
        <v>16</v>
      </c>
      <c r="C840" s="55" t="s">
        <v>4290</v>
      </c>
      <c r="D840" s="55" t="s">
        <v>4291</v>
      </c>
      <c r="E840" s="55" t="s">
        <v>4292</v>
      </c>
      <c r="F840" s="55" t="s">
        <v>2558</v>
      </c>
      <c r="I840" s="55" t="s">
        <v>851</v>
      </c>
    </row>
    <row r="841" customFormat="false" ht="11.25" hidden="false" customHeight="true" outlineLevel="0" collapsed="false">
      <c r="A841" s="55" t="s">
        <v>2243</v>
      </c>
      <c r="B841" s="55" t="s">
        <v>16</v>
      </c>
      <c r="C841" s="55" t="s">
        <v>4293</v>
      </c>
      <c r="D841" s="55" t="s">
        <v>4294</v>
      </c>
      <c r="E841" s="55" t="s">
        <v>4295</v>
      </c>
      <c r="F841" s="55" t="s">
        <v>2333</v>
      </c>
      <c r="G841" s="55" t="s">
        <v>4296</v>
      </c>
      <c r="I841" s="55" t="s">
        <v>851</v>
      </c>
    </row>
    <row r="842" customFormat="false" ht="11.25" hidden="false" customHeight="true" outlineLevel="0" collapsed="false">
      <c r="A842" s="55" t="s">
        <v>2243</v>
      </c>
      <c r="B842" s="55" t="s">
        <v>16</v>
      </c>
      <c r="C842" s="55" t="s">
        <v>2351</v>
      </c>
      <c r="D842" s="55" t="s">
        <v>2352</v>
      </c>
      <c r="E842" s="55" t="s">
        <v>2353</v>
      </c>
      <c r="F842" s="55" t="s">
        <v>2342</v>
      </c>
      <c r="I842" s="55" t="s">
        <v>851</v>
      </c>
    </row>
    <row r="843" customFormat="false" ht="11.25" hidden="false" customHeight="true" outlineLevel="0" collapsed="false">
      <c r="A843" s="55" t="s">
        <v>2243</v>
      </c>
      <c r="B843" s="55" t="s">
        <v>16</v>
      </c>
      <c r="C843" s="55" t="s">
        <v>2358</v>
      </c>
      <c r="D843" s="55" t="s">
        <v>2359</v>
      </c>
      <c r="E843" s="55" t="s">
        <v>2360</v>
      </c>
      <c r="F843" s="55" t="s">
        <v>2347</v>
      </c>
      <c r="G843" s="55" t="s">
        <v>2361</v>
      </c>
      <c r="I843" s="55" t="s">
        <v>851</v>
      </c>
    </row>
    <row r="844" customFormat="false" ht="11.25" hidden="false" customHeight="true" outlineLevel="0" collapsed="false">
      <c r="A844" s="55" t="s">
        <v>2243</v>
      </c>
      <c r="B844" s="55" t="s">
        <v>16</v>
      </c>
      <c r="C844" s="55" t="s">
        <v>2362</v>
      </c>
      <c r="D844" s="55" t="s">
        <v>2363</v>
      </c>
      <c r="E844" s="55" t="s">
        <v>2364</v>
      </c>
      <c r="F844" s="55" t="s">
        <v>2283</v>
      </c>
      <c r="I844" s="55" t="s">
        <v>851</v>
      </c>
    </row>
    <row r="845" customFormat="false" ht="11.25" hidden="false" customHeight="true" outlineLevel="0" collapsed="false">
      <c r="A845" s="55" t="s">
        <v>2243</v>
      </c>
      <c r="B845" s="55" t="s">
        <v>16</v>
      </c>
      <c r="C845" s="55" t="s">
        <v>2372</v>
      </c>
      <c r="D845" s="55" t="s">
        <v>2373</v>
      </c>
      <c r="E845" s="55" t="s">
        <v>2374</v>
      </c>
      <c r="F845" s="55" t="s">
        <v>2329</v>
      </c>
      <c r="G845" s="55" t="s">
        <v>2375</v>
      </c>
      <c r="I845" s="55" t="s">
        <v>851</v>
      </c>
    </row>
    <row r="846" customFormat="false" ht="11.25" hidden="false" customHeight="true" outlineLevel="0" collapsed="false">
      <c r="A846" s="55" t="s">
        <v>2243</v>
      </c>
      <c r="B846" s="55" t="s">
        <v>16</v>
      </c>
      <c r="C846" s="55" t="s">
        <v>2376</v>
      </c>
      <c r="D846" s="55" t="s">
        <v>2377</v>
      </c>
      <c r="E846" s="55" t="s">
        <v>2378</v>
      </c>
      <c r="F846" s="55" t="s">
        <v>2318</v>
      </c>
      <c r="G846" s="55" t="s">
        <v>2379</v>
      </c>
      <c r="I846" s="55" t="s">
        <v>851</v>
      </c>
    </row>
    <row r="847" customFormat="false" ht="11.25" hidden="false" customHeight="true" outlineLevel="0" collapsed="false">
      <c r="A847" s="55" t="s">
        <v>2243</v>
      </c>
      <c r="B847" s="55" t="s">
        <v>16</v>
      </c>
      <c r="C847" s="55" t="s">
        <v>2380</v>
      </c>
      <c r="D847" s="55" t="s">
        <v>2381</v>
      </c>
      <c r="E847" s="55" t="s">
        <v>2260</v>
      </c>
      <c r="F847" s="55" t="s">
        <v>2382</v>
      </c>
      <c r="G847" s="55" t="s">
        <v>2383</v>
      </c>
      <c r="I847" s="55" t="s">
        <v>851</v>
      </c>
    </row>
    <row r="848" customFormat="false" ht="11.25" hidden="false" customHeight="true" outlineLevel="0" collapsed="false">
      <c r="A848" s="55" t="s">
        <v>2243</v>
      </c>
      <c r="B848" s="55" t="s">
        <v>16</v>
      </c>
      <c r="C848" s="55" t="s">
        <v>2384</v>
      </c>
      <c r="D848" s="55" t="s">
        <v>2385</v>
      </c>
      <c r="E848" s="55" t="s">
        <v>2386</v>
      </c>
      <c r="F848" s="55" t="s">
        <v>2387</v>
      </c>
      <c r="G848" s="55" t="s">
        <v>2388</v>
      </c>
      <c r="I848" s="55" t="s">
        <v>851</v>
      </c>
    </row>
    <row r="849" customFormat="false" ht="11.25" hidden="false" customHeight="true" outlineLevel="0" collapsed="false">
      <c r="A849" s="55" t="s">
        <v>2243</v>
      </c>
      <c r="B849" s="55" t="s">
        <v>16</v>
      </c>
      <c r="C849" s="55" t="s">
        <v>4297</v>
      </c>
      <c r="D849" s="55" t="s">
        <v>4298</v>
      </c>
      <c r="E849" s="55" t="s">
        <v>4299</v>
      </c>
      <c r="F849" s="55" t="s">
        <v>2558</v>
      </c>
      <c r="G849" s="55" t="s">
        <v>4300</v>
      </c>
      <c r="I849" s="55" t="s">
        <v>851</v>
      </c>
    </row>
    <row r="850" customFormat="false" ht="11.25" hidden="false" customHeight="true" outlineLevel="0" collapsed="false">
      <c r="A850" s="55" t="s">
        <v>2243</v>
      </c>
      <c r="B850" s="55" t="s">
        <v>16</v>
      </c>
      <c r="C850" s="55" t="s">
        <v>2393</v>
      </c>
      <c r="D850" s="55" t="s">
        <v>2394</v>
      </c>
      <c r="E850" s="55" t="s">
        <v>2395</v>
      </c>
      <c r="F850" s="55" t="s">
        <v>2396</v>
      </c>
      <c r="I850" s="55" t="s">
        <v>851</v>
      </c>
    </row>
    <row r="851" customFormat="false" ht="11.25" hidden="false" customHeight="true" outlineLevel="0" collapsed="false">
      <c r="A851" s="55" t="s">
        <v>2243</v>
      </c>
      <c r="B851" s="55" t="s">
        <v>16</v>
      </c>
      <c r="C851" s="55" t="s">
        <v>2403</v>
      </c>
      <c r="D851" s="55" t="s">
        <v>2404</v>
      </c>
      <c r="E851" s="55" t="s">
        <v>2405</v>
      </c>
      <c r="F851" s="55" t="s">
        <v>2387</v>
      </c>
      <c r="I851" s="55" t="s">
        <v>851</v>
      </c>
    </row>
    <row r="852" customFormat="false" ht="11.25" hidden="false" customHeight="true" outlineLevel="0" collapsed="false">
      <c r="A852" s="55" t="s">
        <v>2243</v>
      </c>
      <c r="B852" s="55" t="s">
        <v>16</v>
      </c>
      <c r="C852" s="55" t="s">
        <v>2410</v>
      </c>
      <c r="D852" s="55" t="s">
        <v>2411</v>
      </c>
      <c r="E852" s="55" t="s">
        <v>2412</v>
      </c>
      <c r="F852" s="55" t="s">
        <v>2371</v>
      </c>
      <c r="G852" s="55" t="s">
        <v>2413</v>
      </c>
      <c r="I852" s="55" t="s">
        <v>851</v>
      </c>
    </row>
    <row r="853" customFormat="false" ht="11.25" hidden="false" customHeight="true" outlineLevel="0" collapsed="false">
      <c r="A853" s="55" t="s">
        <v>2243</v>
      </c>
      <c r="B853" s="55" t="s">
        <v>16</v>
      </c>
      <c r="C853" s="55" t="s">
        <v>2417</v>
      </c>
      <c r="D853" s="55" t="s">
        <v>2418</v>
      </c>
      <c r="E853" s="55" t="s">
        <v>2412</v>
      </c>
      <c r="F853" s="55" t="s">
        <v>2419</v>
      </c>
      <c r="I853" s="55" t="s">
        <v>851</v>
      </c>
    </row>
    <row r="854" customFormat="false" ht="11.25" hidden="false" customHeight="true" outlineLevel="0" collapsed="false">
      <c r="A854" s="55" t="s">
        <v>2243</v>
      </c>
      <c r="B854" s="55" t="s">
        <v>16</v>
      </c>
      <c r="C854" s="55" t="s">
        <v>2423</v>
      </c>
      <c r="D854" s="55" t="s">
        <v>2424</v>
      </c>
      <c r="E854" s="55" t="s">
        <v>2412</v>
      </c>
      <c r="F854" s="55" t="s">
        <v>2425</v>
      </c>
      <c r="I854" s="55" t="s">
        <v>851</v>
      </c>
    </row>
    <row r="855" customFormat="false" ht="11.25" hidden="false" customHeight="true" outlineLevel="0" collapsed="false">
      <c r="A855" s="55" t="s">
        <v>2243</v>
      </c>
      <c r="B855" s="55" t="s">
        <v>16</v>
      </c>
      <c r="C855" s="55" t="s">
        <v>2429</v>
      </c>
      <c r="D855" s="55" t="s">
        <v>2430</v>
      </c>
      <c r="E855" s="55" t="s">
        <v>2412</v>
      </c>
      <c r="F855" s="55" t="s">
        <v>2431</v>
      </c>
      <c r="I855" s="55" t="s">
        <v>851</v>
      </c>
    </row>
    <row r="856" customFormat="false" ht="11.25" hidden="false" customHeight="true" outlineLevel="0" collapsed="false">
      <c r="A856" s="55" t="s">
        <v>2243</v>
      </c>
      <c r="B856" s="55" t="s">
        <v>16</v>
      </c>
      <c r="C856" s="55" t="s">
        <v>2432</v>
      </c>
      <c r="D856" s="55" t="s">
        <v>2433</v>
      </c>
      <c r="E856" s="55" t="s">
        <v>2412</v>
      </c>
      <c r="F856" s="55" t="s">
        <v>2434</v>
      </c>
      <c r="I856" s="55" t="s">
        <v>851</v>
      </c>
    </row>
    <row r="857" customFormat="false" ht="11.25" hidden="false" customHeight="true" outlineLevel="0" collapsed="false">
      <c r="A857" s="55" t="s">
        <v>2243</v>
      </c>
      <c r="B857" s="55" t="s">
        <v>16</v>
      </c>
      <c r="C857" s="55" t="s">
        <v>2438</v>
      </c>
      <c r="D857" s="55" t="s">
        <v>2439</v>
      </c>
      <c r="E857" s="55" t="s">
        <v>2412</v>
      </c>
      <c r="F857" s="55" t="s">
        <v>2440</v>
      </c>
      <c r="I857" s="55" t="s">
        <v>851</v>
      </c>
    </row>
    <row r="858" customFormat="false" ht="11.25" hidden="false" customHeight="true" outlineLevel="0" collapsed="false">
      <c r="A858" s="55" t="s">
        <v>2243</v>
      </c>
      <c r="B858" s="55" t="s">
        <v>16</v>
      </c>
      <c r="C858" s="55" t="s">
        <v>2441</v>
      </c>
      <c r="D858" s="55" t="s">
        <v>2442</v>
      </c>
      <c r="E858" s="55" t="s">
        <v>2412</v>
      </c>
      <c r="F858" s="55" t="s">
        <v>2443</v>
      </c>
      <c r="I858" s="55" t="s">
        <v>851</v>
      </c>
    </row>
    <row r="859" customFormat="false" ht="11.25" hidden="false" customHeight="true" outlineLevel="0" collapsed="false">
      <c r="A859" s="55" t="s">
        <v>2243</v>
      </c>
      <c r="B859" s="55" t="s">
        <v>16</v>
      </c>
      <c r="C859" s="55" t="s">
        <v>2453</v>
      </c>
      <c r="D859" s="55" t="s">
        <v>2454</v>
      </c>
      <c r="E859" s="55" t="s">
        <v>2455</v>
      </c>
      <c r="F859" s="55" t="s">
        <v>2309</v>
      </c>
      <c r="G859" s="55" t="s">
        <v>2456</v>
      </c>
      <c r="I859" s="55" t="s">
        <v>851</v>
      </c>
    </row>
    <row r="860" customFormat="false" ht="11.25" hidden="false" customHeight="true" outlineLevel="0" collapsed="false">
      <c r="A860" s="55" t="s">
        <v>2243</v>
      </c>
      <c r="B860" s="55" t="s">
        <v>16</v>
      </c>
      <c r="C860" s="55" t="s">
        <v>4301</v>
      </c>
      <c r="D860" s="55" t="s">
        <v>4302</v>
      </c>
      <c r="E860" s="55" t="s">
        <v>4303</v>
      </c>
      <c r="F860" s="55" t="s">
        <v>2247</v>
      </c>
      <c r="G860" s="55" t="s">
        <v>4304</v>
      </c>
      <c r="I860" s="55" t="s">
        <v>851</v>
      </c>
    </row>
    <row r="861" customFormat="false" ht="11.25" hidden="false" customHeight="true" outlineLevel="0" collapsed="false">
      <c r="A861" s="55" t="s">
        <v>2243</v>
      </c>
      <c r="B861" s="55" t="s">
        <v>16</v>
      </c>
      <c r="C861" s="55" t="s">
        <v>2460</v>
      </c>
      <c r="D861" s="55" t="s">
        <v>2461</v>
      </c>
      <c r="E861" s="55" t="s">
        <v>2462</v>
      </c>
      <c r="F861" s="55" t="s">
        <v>2247</v>
      </c>
      <c r="I861" s="55" t="s">
        <v>851</v>
      </c>
    </row>
    <row r="862" customFormat="false" ht="11.25" hidden="false" customHeight="true" outlineLevel="0" collapsed="false">
      <c r="A862" s="55" t="s">
        <v>2243</v>
      </c>
      <c r="B862" s="55" t="s">
        <v>16</v>
      </c>
      <c r="C862" s="55" t="s">
        <v>2463</v>
      </c>
      <c r="D862" s="55" t="s">
        <v>2464</v>
      </c>
      <c r="E862" s="55" t="s">
        <v>2465</v>
      </c>
      <c r="F862" s="55" t="s">
        <v>2309</v>
      </c>
      <c r="G862" s="55" t="s">
        <v>2466</v>
      </c>
      <c r="I862" s="55" t="s">
        <v>851</v>
      </c>
    </row>
    <row r="863" customFormat="false" ht="11.25" hidden="false" customHeight="true" outlineLevel="0" collapsed="false">
      <c r="A863" s="55" t="s">
        <v>2243</v>
      </c>
      <c r="B863" s="55" t="s">
        <v>16</v>
      </c>
      <c r="C863" s="55" t="s">
        <v>2491</v>
      </c>
      <c r="D863" s="55" t="s">
        <v>2492</v>
      </c>
      <c r="E863" s="55" t="s">
        <v>2469</v>
      </c>
      <c r="F863" s="55" t="s">
        <v>2493</v>
      </c>
      <c r="I863" s="55" t="s">
        <v>851</v>
      </c>
    </row>
    <row r="864" customFormat="false" ht="11.25" hidden="false" customHeight="true" outlineLevel="0" collapsed="false">
      <c r="A864" s="55" t="s">
        <v>2243</v>
      </c>
      <c r="B864" s="55" t="s">
        <v>16</v>
      </c>
      <c r="C864" s="55" t="s">
        <v>2497</v>
      </c>
      <c r="D864" s="55" t="s">
        <v>2498</v>
      </c>
      <c r="E864" s="55" t="s">
        <v>2469</v>
      </c>
      <c r="F864" s="55" t="s">
        <v>2499</v>
      </c>
      <c r="I864" s="55" t="s">
        <v>851</v>
      </c>
    </row>
    <row r="865" customFormat="false" ht="11.25" hidden="false" customHeight="true" outlineLevel="0" collapsed="false">
      <c r="A865" s="55" t="s">
        <v>2243</v>
      </c>
      <c r="B865" s="55" t="s">
        <v>16</v>
      </c>
      <c r="C865" s="55" t="s">
        <v>2515</v>
      </c>
      <c r="D865" s="55" t="s">
        <v>2516</v>
      </c>
      <c r="E865" s="55" t="s">
        <v>2469</v>
      </c>
      <c r="F865" s="55" t="s">
        <v>2517</v>
      </c>
      <c r="I865" s="55" t="s">
        <v>851</v>
      </c>
    </row>
    <row r="866" customFormat="false" ht="11.25" hidden="false" customHeight="true" outlineLevel="0" collapsed="false">
      <c r="A866" s="55" t="s">
        <v>2243</v>
      </c>
      <c r="B866" s="55" t="s">
        <v>16</v>
      </c>
      <c r="C866" s="55" t="s">
        <v>2521</v>
      </c>
      <c r="D866" s="55" t="s">
        <v>2522</v>
      </c>
      <c r="E866" s="55" t="s">
        <v>2523</v>
      </c>
      <c r="F866" s="55" t="s">
        <v>2524</v>
      </c>
      <c r="I866" s="55" t="s">
        <v>851</v>
      </c>
    </row>
    <row r="867" customFormat="false" ht="11.25" hidden="false" customHeight="true" outlineLevel="0" collapsed="false">
      <c r="A867" s="55" t="s">
        <v>2243</v>
      </c>
      <c r="B867" s="55" t="s">
        <v>16</v>
      </c>
      <c r="C867" s="55" t="s">
        <v>2529</v>
      </c>
      <c r="D867" s="55" t="s">
        <v>2530</v>
      </c>
      <c r="E867" s="55" t="s">
        <v>2531</v>
      </c>
      <c r="F867" s="55" t="s">
        <v>2291</v>
      </c>
      <c r="I867" s="55" t="s">
        <v>851</v>
      </c>
    </row>
    <row r="868" customFormat="false" ht="11.25" hidden="false" customHeight="true" outlineLevel="0" collapsed="false">
      <c r="A868" s="55" t="s">
        <v>2243</v>
      </c>
      <c r="B868" s="55" t="s">
        <v>16</v>
      </c>
      <c r="C868" s="55" t="s">
        <v>2535</v>
      </c>
      <c r="D868" s="55" t="s">
        <v>2536</v>
      </c>
      <c r="E868" s="55" t="s">
        <v>2537</v>
      </c>
      <c r="F868" s="55" t="s">
        <v>2371</v>
      </c>
      <c r="I868" s="55" t="s">
        <v>851</v>
      </c>
    </row>
    <row r="869" customFormat="false" ht="11.25" hidden="false" customHeight="true" outlineLevel="0" collapsed="false">
      <c r="A869" s="55" t="s">
        <v>2243</v>
      </c>
      <c r="B869" s="55" t="s">
        <v>16</v>
      </c>
      <c r="C869" s="55" t="s">
        <v>2545</v>
      </c>
      <c r="D869" s="55" t="s">
        <v>2546</v>
      </c>
      <c r="E869" s="55" t="s">
        <v>2547</v>
      </c>
      <c r="F869" s="55" t="s">
        <v>2318</v>
      </c>
      <c r="G869" s="55" t="s">
        <v>2548</v>
      </c>
      <c r="I869" s="55" t="s">
        <v>851</v>
      </c>
    </row>
    <row r="870" customFormat="false" ht="11.25" hidden="false" customHeight="true" outlineLevel="0" collapsed="false">
      <c r="A870" s="55" t="s">
        <v>2243</v>
      </c>
      <c r="B870" s="55" t="s">
        <v>16</v>
      </c>
      <c r="C870" s="55" t="s">
        <v>2549</v>
      </c>
      <c r="D870" s="55" t="s">
        <v>2550</v>
      </c>
      <c r="E870" s="55" t="s">
        <v>2551</v>
      </c>
      <c r="F870" s="55" t="s">
        <v>2301</v>
      </c>
      <c r="I870" s="55" t="s">
        <v>851</v>
      </c>
    </row>
    <row r="871" customFormat="false" ht="11.25" hidden="false" customHeight="true" outlineLevel="0" collapsed="false">
      <c r="A871" s="55" t="s">
        <v>2243</v>
      </c>
      <c r="B871" s="55" t="s">
        <v>16</v>
      </c>
      <c r="C871" s="55" t="s">
        <v>4305</v>
      </c>
      <c r="D871" s="55" t="s">
        <v>4306</v>
      </c>
      <c r="E871" s="55" t="s">
        <v>4307</v>
      </c>
      <c r="F871" s="55" t="s">
        <v>2558</v>
      </c>
      <c r="I871" s="55" t="s">
        <v>851</v>
      </c>
    </row>
    <row r="872" customFormat="false" ht="11.25" hidden="false" customHeight="true" outlineLevel="0" collapsed="false">
      <c r="A872" s="55" t="s">
        <v>2243</v>
      </c>
      <c r="B872" s="55" t="s">
        <v>16</v>
      </c>
      <c r="C872" s="55" t="s">
        <v>2563</v>
      </c>
      <c r="D872" s="55" t="s">
        <v>2564</v>
      </c>
      <c r="E872" s="55" t="s">
        <v>2565</v>
      </c>
      <c r="F872" s="55" t="s">
        <v>2566</v>
      </c>
      <c r="G872" s="55" t="s">
        <v>2567</v>
      </c>
      <c r="I872" s="55" t="s">
        <v>851</v>
      </c>
    </row>
    <row r="873" customFormat="false" ht="11.25" hidden="false" customHeight="true" outlineLevel="0" collapsed="false">
      <c r="A873" s="55" t="s">
        <v>2243</v>
      </c>
      <c r="B873" s="55" t="s">
        <v>16</v>
      </c>
      <c r="C873" s="55" t="s">
        <v>4308</v>
      </c>
      <c r="D873" s="55" t="s">
        <v>4309</v>
      </c>
      <c r="E873" s="55" t="s">
        <v>4310</v>
      </c>
      <c r="F873" s="55" t="s">
        <v>2566</v>
      </c>
      <c r="G873" s="55" t="s">
        <v>4311</v>
      </c>
      <c r="I873" s="55" t="s">
        <v>851</v>
      </c>
    </row>
    <row r="874" customFormat="false" ht="11.25" hidden="false" customHeight="true" outlineLevel="0" collapsed="false">
      <c r="A874" s="55" t="s">
        <v>2243</v>
      </c>
      <c r="B874" s="55" t="s">
        <v>16</v>
      </c>
      <c r="C874" s="55" t="s">
        <v>2568</v>
      </c>
      <c r="D874" s="55" t="s">
        <v>2569</v>
      </c>
      <c r="E874" s="55" t="s">
        <v>2570</v>
      </c>
      <c r="F874" s="55" t="s">
        <v>2318</v>
      </c>
      <c r="G874" s="55" t="s">
        <v>2571</v>
      </c>
      <c r="I874" s="55" t="s">
        <v>851</v>
      </c>
    </row>
    <row r="875" customFormat="false" ht="11.25" hidden="false" customHeight="true" outlineLevel="0" collapsed="false">
      <c r="A875" s="55" t="s">
        <v>2243</v>
      </c>
      <c r="B875" s="55" t="s">
        <v>16</v>
      </c>
      <c r="C875" s="55" t="s">
        <v>2585</v>
      </c>
      <c r="D875" s="55" t="s">
        <v>2586</v>
      </c>
      <c r="E875" s="55" t="s">
        <v>2587</v>
      </c>
      <c r="F875" s="55" t="s">
        <v>2357</v>
      </c>
      <c r="G875" s="55" t="s">
        <v>2588</v>
      </c>
      <c r="I875" s="55" t="s">
        <v>851</v>
      </c>
    </row>
    <row r="876" customFormat="false" ht="11.25" hidden="false" customHeight="true" outlineLevel="0" collapsed="false">
      <c r="A876" s="55" t="s">
        <v>2243</v>
      </c>
      <c r="B876" s="55" t="s">
        <v>16</v>
      </c>
      <c r="C876" s="55" t="s">
        <v>2589</v>
      </c>
      <c r="D876" s="55" t="s">
        <v>2590</v>
      </c>
      <c r="E876" s="55" t="s">
        <v>2591</v>
      </c>
      <c r="F876" s="55" t="s">
        <v>2247</v>
      </c>
      <c r="I876" s="55" t="s">
        <v>851</v>
      </c>
    </row>
    <row r="877" customFormat="false" ht="11.25" hidden="false" customHeight="true" outlineLevel="0" collapsed="false">
      <c r="A877" s="55" t="s">
        <v>2243</v>
      </c>
      <c r="B877" s="55" t="s">
        <v>16</v>
      </c>
      <c r="C877" s="55" t="s">
        <v>2601</v>
      </c>
      <c r="D877" s="55" t="s">
        <v>2602</v>
      </c>
      <c r="E877" s="55" t="s">
        <v>2603</v>
      </c>
      <c r="F877" s="55" t="s">
        <v>2329</v>
      </c>
      <c r="I877" s="55" t="s">
        <v>851</v>
      </c>
    </row>
    <row r="878" customFormat="false" ht="11.25" hidden="false" customHeight="true" outlineLevel="0" collapsed="false">
      <c r="A878" s="55" t="s">
        <v>2243</v>
      </c>
      <c r="B878" s="55" t="s">
        <v>16</v>
      </c>
      <c r="C878" s="55" t="s">
        <v>2604</v>
      </c>
      <c r="D878" s="55" t="s">
        <v>2605</v>
      </c>
      <c r="E878" s="55" t="s">
        <v>2606</v>
      </c>
      <c r="F878" s="55" t="s">
        <v>2314</v>
      </c>
      <c r="I878" s="55" t="s">
        <v>851</v>
      </c>
    </row>
    <row r="879" customFormat="false" ht="11.25" hidden="false" customHeight="true" outlineLevel="0" collapsed="false">
      <c r="A879" s="55" t="s">
        <v>2243</v>
      </c>
      <c r="B879" s="55" t="s">
        <v>16</v>
      </c>
      <c r="C879" s="55" t="s">
        <v>2607</v>
      </c>
      <c r="D879" s="55" t="s">
        <v>2608</v>
      </c>
      <c r="E879" s="55" t="s">
        <v>2609</v>
      </c>
      <c r="F879" s="55" t="s">
        <v>2610</v>
      </c>
      <c r="G879" s="55" t="s">
        <v>2611</v>
      </c>
      <c r="I879" s="55" t="s">
        <v>851</v>
      </c>
    </row>
    <row r="880" customFormat="false" ht="11.25" hidden="false" customHeight="true" outlineLevel="0" collapsed="false">
      <c r="A880" s="55" t="s">
        <v>2243</v>
      </c>
      <c r="B880" s="55" t="s">
        <v>16</v>
      </c>
      <c r="C880" s="55" t="s">
        <v>2615</v>
      </c>
      <c r="D880" s="55" t="s">
        <v>2616</v>
      </c>
      <c r="E880" s="55" t="s">
        <v>2617</v>
      </c>
      <c r="F880" s="55" t="s">
        <v>2618</v>
      </c>
      <c r="I880" s="55" t="s">
        <v>851</v>
      </c>
    </row>
    <row r="881" customFormat="false" ht="11.25" hidden="false" customHeight="true" outlineLevel="0" collapsed="false">
      <c r="A881" s="55" t="s">
        <v>2243</v>
      </c>
      <c r="B881" s="55" t="s">
        <v>16</v>
      </c>
      <c r="C881" s="55" t="s">
        <v>2619</v>
      </c>
      <c r="D881" s="55" t="s">
        <v>2620</v>
      </c>
      <c r="E881" s="55" t="s">
        <v>2617</v>
      </c>
      <c r="F881" s="55" t="s">
        <v>2329</v>
      </c>
      <c r="G881" s="55" t="s">
        <v>2466</v>
      </c>
      <c r="I881" s="55" t="s">
        <v>851</v>
      </c>
    </row>
    <row r="882" customFormat="false" ht="11.25" hidden="false" customHeight="true" outlineLevel="0" collapsed="false">
      <c r="A882" s="55" t="s">
        <v>2243</v>
      </c>
      <c r="B882" s="55" t="s">
        <v>16</v>
      </c>
      <c r="C882" s="55" t="s">
        <v>2644</v>
      </c>
      <c r="D882" s="55" t="s">
        <v>2645</v>
      </c>
      <c r="E882" s="55" t="s">
        <v>2646</v>
      </c>
      <c r="F882" s="55" t="s">
        <v>2357</v>
      </c>
      <c r="G882" s="55" t="s">
        <v>2647</v>
      </c>
      <c r="I882" s="55" t="s">
        <v>851</v>
      </c>
    </row>
    <row r="883" customFormat="false" ht="11.25" hidden="false" customHeight="true" outlineLevel="0" collapsed="false">
      <c r="A883" s="55" t="s">
        <v>2243</v>
      </c>
      <c r="B883" s="55" t="s">
        <v>16</v>
      </c>
      <c r="C883" s="55" t="s">
        <v>2651</v>
      </c>
      <c r="D883" s="55" t="s">
        <v>2652</v>
      </c>
      <c r="E883" s="55" t="s">
        <v>2395</v>
      </c>
      <c r="F883" s="55" t="s">
        <v>2653</v>
      </c>
      <c r="I883" s="55" t="s">
        <v>851</v>
      </c>
    </row>
    <row r="884" customFormat="false" ht="11.25" hidden="false" customHeight="true" outlineLevel="0" collapsed="false">
      <c r="A884" s="55" t="s">
        <v>2243</v>
      </c>
      <c r="B884" s="55" t="s">
        <v>16</v>
      </c>
      <c r="C884" s="55" t="s">
        <v>2657</v>
      </c>
      <c r="D884" s="55" t="s">
        <v>2658</v>
      </c>
      <c r="E884" s="55" t="s">
        <v>2659</v>
      </c>
      <c r="F884" s="55" t="s">
        <v>2470</v>
      </c>
      <c r="I884" s="55" t="s">
        <v>851</v>
      </c>
    </row>
    <row r="885" customFormat="false" ht="11.25" hidden="false" customHeight="true" outlineLevel="0" collapsed="false">
      <c r="A885" s="55" t="s">
        <v>2243</v>
      </c>
      <c r="B885" s="55" t="s">
        <v>16</v>
      </c>
      <c r="C885" s="55" t="s">
        <v>2663</v>
      </c>
      <c r="D885" s="55" t="s">
        <v>2664</v>
      </c>
      <c r="E885" s="55" t="s">
        <v>2523</v>
      </c>
      <c r="F885" s="55" t="s">
        <v>2665</v>
      </c>
      <c r="I885" s="55" t="s">
        <v>851</v>
      </c>
    </row>
    <row r="886" customFormat="false" ht="11.25" hidden="false" customHeight="true" outlineLevel="0" collapsed="false">
      <c r="A886" s="55" t="s">
        <v>2243</v>
      </c>
      <c r="B886" s="55" t="s">
        <v>16</v>
      </c>
      <c r="C886" s="55" t="s">
        <v>2673</v>
      </c>
      <c r="D886" s="55" t="s">
        <v>2674</v>
      </c>
      <c r="E886" s="55" t="s">
        <v>2675</v>
      </c>
      <c r="F886" s="55" t="s">
        <v>2371</v>
      </c>
      <c r="I886" s="55" t="s">
        <v>851</v>
      </c>
    </row>
    <row r="887" customFormat="false" ht="11.25" hidden="false" customHeight="true" outlineLevel="0" collapsed="false">
      <c r="A887" s="55" t="s">
        <v>2243</v>
      </c>
      <c r="B887" s="55" t="s">
        <v>16</v>
      </c>
      <c r="C887" s="55" t="s">
        <v>2676</v>
      </c>
      <c r="D887" s="55" t="s">
        <v>2677</v>
      </c>
      <c r="E887" s="55" t="s">
        <v>2678</v>
      </c>
      <c r="F887" s="55" t="s">
        <v>2672</v>
      </c>
      <c r="I887" s="55" t="s">
        <v>851</v>
      </c>
    </row>
    <row r="888" customFormat="false" ht="11.25" hidden="false" customHeight="true" outlineLevel="0" collapsed="false">
      <c r="A888" s="55" t="s">
        <v>2243</v>
      </c>
      <c r="B888" s="55" t="s">
        <v>16</v>
      </c>
      <c r="C888" s="55" t="s">
        <v>2682</v>
      </c>
      <c r="D888" s="55" t="s">
        <v>2683</v>
      </c>
      <c r="E888" s="55" t="s">
        <v>2684</v>
      </c>
      <c r="F888" s="55" t="s">
        <v>2318</v>
      </c>
      <c r="I888" s="55" t="s">
        <v>851</v>
      </c>
    </row>
    <row r="889" customFormat="false" ht="11.25" hidden="false" customHeight="true" outlineLevel="0" collapsed="false">
      <c r="A889" s="55" t="s">
        <v>2243</v>
      </c>
      <c r="B889" s="55" t="s">
        <v>16</v>
      </c>
      <c r="C889" s="55" t="s">
        <v>2685</v>
      </c>
      <c r="D889" s="55" t="s">
        <v>2686</v>
      </c>
      <c r="E889" s="55" t="s">
        <v>2687</v>
      </c>
      <c r="F889" s="55" t="s">
        <v>2247</v>
      </c>
      <c r="G889" s="55" t="s">
        <v>2688</v>
      </c>
      <c r="I889" s="55" t="s">
        <v>851</v>
      </c>
    </row>
    <row r="890" customFormat="false" ht="11.25" hidden="false" customHeight="true" outlineLevel="0" collapsed="false">
      <c r="A890" s="55" t="s">
        <v>2243</v>
      </c>
      <c r="B890" s="55" t="s">
        <v>16</v>
      </c>
      <c r="C890" s="55" t="s">
        <v>4312</v>
      </c>
      <c r="D890" s="55" t="s">
        <v>4313</v>
      </c>
      <c r="E890" s="55" t="s">
        <v>4314</v>
      </c>
      <c r="F890" s="55" t="s">
        <v>2558</v>
      </c>
      <c r="I890" s="55" t="s">
        <v>851</v>
      </c>
    </row>
    <row r="891" customFormat="false" ht="11.25" hidden="false" customHeight="true" outlineLevel="0" collapsed="false">
      <c r="A891" s="55" t="s">
        <v>2243</v>
      </c>
      <c r="B891" s="55" t="s">
        <v>16</v>
      </c>
      <c r="C891" s="55" t="s">
        <v>2696</v>
      </c>
      <c r="D891" s="55" t="s">
        <v>2697</v>
      </c>
      <c r="E891" s="55" t="s">
        <v>2698</v>
      </c>
      <c r="F891" s="55" t="s">
        <v>2274</v>
      </c>
      <c r="I891" s="55" t="s">
        <v>851</v>
      </c>
    </row>
    <row r="892" customFormat="false" ht="11.25" hidden="false" customHeight="true" outlineLevel="0" collapsed="false">
      <c r="A892" s="55" t="s">
        <v>2243</v>
      </c>
      <c r="B892" s="55" t="s">
        <v>16</v>
      </c>
      <c r="C892" s="55" t="s">
        <v>2710</v>
      </c>
      <c r="D892" s="55" t="s">
        <v>2711</v>
      </c>
      <c r="E892" s="55" t="s">
        <v>2712</v>
      </c>
      <c r="F892" s="55" t="s">
        <v>2329</v>
      </c>
      <c r="I892" s="55" t="s">
        <v>851</v>
      </c>
    </row>
    <row r="893" customFormat="false" ht="11.25" hidden="false" customHeight="true" outlineLevel="0" collapsed="false">
      <c r="A893" s="55" t="s">
        <v>2243</v>
      </c>
      <c r="B893" s="55" t="s">
        <v>16</v>
      </c>
      <c r="C893" s="55" t="s">
        <v>2713</v>
      </c>
      <c r="D893" s="55" t="s">
        <v>2714</v>
      </c>
      <c r="E893" s="55" t="s">
        <v>2715</v>
      </c>
      <c r="F893" s="55" t="s">
        <v>2716</v>
      </c>
      <c r="G893" s="55" t="s">
        <v>2717</v>
      </c>
      <c r="I893" s="55" t="s">
        <v>851</v>
      </c>
    </row>
    <row r="894" customFormat="false" ht="11.25" hidden="false" customHeight="true" outlineLevel="0" collapsed="false">
      <c r="A894" s="55" t="s">
        <v>2243</v>
      </c>
      <c r="B894" s="55" t="s">
        <v>16</v>
      </c>
      <c r="C894" s="55" t="s">
        <v>2724</v>
      </c>
      <c r="D894" s="55" t="s">
        <v>2725</v>
      </c>
      <c r="E894" s="55" t="s">
        <v>2726</v>
      </c>
      <c r="F894" s="55" t="s">
        <v>2329</v>
      </c>
      <c r="I894" s="55" t="s">
        <v>851</v>
      </c>
    </row>
    <row r="895" customFormat="false" ht="11.25" hidden="false" customHeight="true" outlineLevel="0" collapsed="false">
      <c r="A895" s="55" t="s">
        <v>2243</v>
      </c>
      <c r="B895" s="55" t="s">
        <v>16</v>
      </c>
      <c r="C895" s="55" t="s">
        <v>2734</v>
      </c>
      <c r="D895" s="55" t="s">
        <v>2735</v>
      </c>
      <c r="E895" s="55" t="s">
        <v>2736</v>
      </c>
      <c r="F895" s="55" t="s">
        <v>2291</v>
      </c>
      <c r="I895" s="55" t="s">
        <v>851</v>
      </c>
    </row>
    <row r="896" customFormat="false" ht="11.25" hidden="false" customHeight="true" outlineLevel="0" collapsed="false">
      <c r="A896" s="55" t="s">
        <v>2243</v>
      </c>
      <c r="B896" s="55" t="s">
        <v>16</v>
      </c>
      <c r="C896" s="55" t="s">
        <v>4315</v>
      </c>
      <c r="D896" s="55" t="s">
        <v>4316</v>
      </c>
      <c r="E896" s="55" t="s">
        <v>4317</v>
      </c>
      <c r="F896" s="55" t="s">
        <v>2314</v>
      </c>
      <c r="G896" s="55" t="s">
        <v>4318</v>
      </c>
      <c r="I896" s="55" t="s">
        <v>851</v>
      </c>
    </row>
    <row r="897" customFormat="false" ht="11.25" hidden="false" customHeight="true" outlineLevel="0" collapsed="false">
      <c r="A897" s="55" t="s">
        <v>2243</v>
      </c>
      <c r="B897" s="55" t="s">
        <v>16</v>
      </c>
      <c r="C897" s="55" t="s">
        <v>2737</v>
      </c>
      <c r="D897" s="55" t="s">
        <v>2738</v>
      </c>
      <c r="E897" s="55" t="s">
        <v>2739</v>
      </c>
      <c r="F897" s="55" t="s">
        <v>2314</v>
      </c>
      <c r="G897" s="55" t="s">
        <v>2740</v>
      </c>
      <c r="I897" s="55" t="s">
        <v>851</v>
      </c>
    </row>
    <row r="898" customFormat="false" ht="11.25" hidden="false" customHeight="true" outlineLevel="0" collapsed="false">
      <c r="A898" s="55" t="s">
        <v>2243</v>
      </c>
      <c r="B898" s="55" t="s">
        <v>16</v>
      </c>
      <c r="C898" s="55" t="s">
        <v>2754</v>
      </c>
      <c r="D898" s="55" t="s">
        <v>2755</v>
      </c>
      <c r="E898" s="55" t="s">
        <v>2756</v>
      </c>
      <c r="F898" s="55" t="s">
        <v>2757</v>
      </c>
      <c r="I898" s="55" t="s">
        <v>851</v>
      </c>
    </row>
    <row r="899" customFormat="false" ht="11.25" hidden="false" customHeight="true" outlineLevel="0" collapsed="false">
      <c r="A899" s="55" t="s">
        <v>2243</v>
      </c>
      <c r="B899" s="55" t="s">
        <v>16</v>
      </c>
      <c r="C899" s="55" t="s">
        <v>2761</v>
      </c>
      <c r="D899" s="55" t="s">
        <v>2762</v>
      </c>
      <c r="E899" s="55" t="s">
        <v>2763</v>
      </c>
      <c r="F899" s="55" t="s">
        <v>2371</v>
      </c>
      <c r="G899" s="55" t="s">
        <v>2764</v>
      </c>
      <c r="I899" s="55" t="s">
        <v>851</v>
      </c>
    </row>
    <row r="900" customFormat="false" ht="11.25" hidden="false" customHeight="true" outlineLevel="0" collapsed="false">
      <c r="A900" s="55" t="s">
        <v>2243</v>
      </c>
      <c r="B900" s="55" t="s">
        <v>16</v>
      </c>
      <c r="C900" s="55" t="s">
        <v>2774</v>
      </c>
      <c r="D900" s="55" t="s">
        <v>2775</v>
      </c>
      <c r="E900" s="55" t="s">
        <v>2776</v>
      </c>
      <c r="F900" s="55" t="s">
        <v>572</v>
      </c>
      <c r="I900" s="55" t="s">
        <v>851</v>
      </c>
    </row>
    <row r="901" customFormat="false" ht="11.25" hidden="false" customHeight="true" outlineLevel="0" collapsed="false">
      <c r="A901" s="55" t="s">
        <v>2243</v>
      </c>
      <c r="B901" s="55" t="s">
        <v>16</v>
      </c>
      <c r="C901" s="55" t="s">
        <v>4319</v>
      </c>
      <c r="D901" s="55" t="s">
        <v>4320</v>
      </c>
      <c r="E901" s="55" t="s">
        <v>4321</v>
      </c>
      <c r="F901" s="55" t="s">
        <v>572</v>
      </c>
      <c r="I901" s="55" t="s">
        <v>851</v>
      </c>
    </row>
    <row r="902" customFormat="false" ht="11.25" hidden="false" customHeight="true" outlineLevel="0" collapsed="false">
      <c r="A902" s="55" t="s">
        <v>2243</v>
      </c>
      <c r="B902" s="55" t="s">
        <v>16</v>
      </c>
      <c r="C902" s="55" t="s">
        <v>4322</v>
      </c>
      <c r="D902" s="55" t="s">
        <v>4323</v>
      </c>
      <c r="E902" s="55" t="s">
        <v>4324</v>
      </c>
      <c r="F902" s="55" t="s">
        <v>572</v>
      </c>
      <c r="G902" s="55" t="s">
        <v>4325</v>
      </c>
      <c r="I902" s="55" t="s">
        <v>851</v>
      </c>
    </row>
    <row r="903" customFormat="false" ht="11.25" hidden="false" customHeight="true" outlineLevel="0" collapsed="false">
      <c r="A903" s="55" t="s">
        <v>2243</v>
      </c>
      <c r="B903" s="55" t="s">
        <v>16</v>
      </c>
      <c r="C903" s="55" t="s">
        <v>2799</v>
      </c>
      <c r="D903" s="55" t="s">
        <v>2800</v>
      </c>
      <c r="E903" s="55" t="s">
        <v>2801</v>
      </c>
      <c r="F903" s="55" t="s">
        <v>572</v>
      </c>
      <c r="G903" s="55" t="s">
        <v>2802</v>
      </c>
      <c r="I903" s="55" t="s">
        <v>851</v>
      </c>
    </row>
    <row r="904" customFormat="false" ht="11.25" hidden="false" customHeight="true" outlineLevel="0" collapsed="false">
      <c r="A904" s="55" t="s">
        <v>2243</v>
      </c>
      <c r="B904" s="55" t="s">
        <v>16</v>
      </c>
      <c r="C904" s="55" t="s">
        <v>2819</v>
      </c>
      <c r="D904" s="55" t="s">
        <v>2820</v>
      </c>
      <c r="E904" s="55" t="s">
        <v>2821</v>
      </c>
      <c r="F904" s="55" t="s">
        <v>2387</v>
      </c>
      <c r="I904" s="55" t="s">
        <v>851</v>
      </c>
    </row>
    <row r="905" customFormat="false" ht="11.25" hidden="false" customHeight="true" outlineLevel="0" collapsed="false">
      <c r="A905" s="55" t="s">
        <v>2243</v>
      </c>
      <c r="B905" s="55" t="s">
        <v>16</v>
      </c>
      <c r="C905" s="55" t="s">
        <v>2822</v>
      </c>
      <c r="D905" s="55" t="s">
        <v>2823</v>
      </c>
      <c r="E905" s="55" t="s">
        <v>2824</v>
      </c>
      <c r="F905" s="55" t="s">
        <v>2274</v>
      </c>
      <c r="I905" s="55" t="s">
        <v>851</v>
      </c>
    </row>
    <row r="906" customFormat="false" ht="11.25" hidden="false" customHeight="true" outlineLevel="0" collapsed="false">
      <c r="A906" s="55" t="s">
        <v>2243</v>
      </c>
      <c r="B906" s="55" t="s">
        <v>16</v>
      </c>
      <c r="C906" s="55" t="s">
        <v>4326</v>
      </c>
      <c r="D906" s="55" t="s">
        <v>4327</v>
      </c>
      <c r="E906" s="55" t="s">
        <v>4328</v>
      </c>
      <c r="F906" s="55" t="s">
        <v>3728</v>
      </c>
      <c r="I906" s="55" t="s">
        <v>851</v>
      </c>
    </row>
    <row r="907" customFormat="false" ht="11.25" hidden="false" customHeight="true" outlineLevel="0" collapsed="false">
      <c r="A907" s="55" t="s">
        <v>2243</v>
      </c>
      <c r="B907" s="55" t="s">
        <v>16</v>
      </c>
      <c r="C907" s="55" t="s">
        <v>4329</v>
      </c>
      <c r="D907" s="55" t="s">
        <v>4330</v>
      </c>
      <c r="E907" s="55" t="s">
        <v>4331</v>
      </c>
      <c r="F907" s="55" t="s">
        <v>3130</v>
      </c>
      <c r="I907" s="55" t="s">
        <v>851</v>
      </c>
    </row>
    <row r="908" customFormat="false" ht="11.25" hidden="false" customHeight="true" outlineLevel="0" collapsed="false">
      <c r="A908" s="55" t="s">
        <v>2243</v>
      </c>
      <c r="B908" s="55" t="s">
        <v>16</v>
      </c>
      <c r="C908" s="55" t="s">
        <v>2828</v>
      </c>
      <c r="D908" s="55" t="s">
        <v>2829</v>
      </c>
      <c r="E908" s="55" t="s">
        <v>2830</v>
      </c>
      <c r="F908" s="55" t="s">
        <v>2566</v>
      </c>
      <c r="I908" s="55" t="s">
        <v>851</v>
      </c>
    </row>
    <row r="909" customFormat="false" ht="11.25" hidden="false" customHeight="true" outlineLevel="0" collapsed="false">
      <c r="A909" s="55" t="s">
        <v>2243</v>
      </c>
      <c r="B909" s="55" t="s">
        <v>16</v>
      </c>
      <c r="C909" s="55" t="s">
        <v>4332</v>
      </c>
      <c r="D909" s="55" t="s">
        <v>4333</v>
      </c>
      <c r="E909" s="55" t="s">
        <v>4334</v>
      </c>
      <c r="F909" s="55" t="s">
        <v>2566</v>
      </c>
      <c r="I909" s="55" t="s">
        <v>851</v>
      </c>
    </row>
    <row r="910" customFormat="false" ht="11.25" hidden="false" customHeight="true" outlineLevel="0" collapsed="false">
      <c r="A910" s="55" t="s">
        <v>2243</v>
      </c>
      <c r="B910" s="55" t="s">
        <v>16</v>
      </c>
      <c r="C910" s="55" t="s">
        <v>4335</v>
      </c>
      <c r="D910" s="55" t="s">
        <v>4336</v>
      </c>
      <c r="E910" s="55" t="s">
        <v>4337</v>
      </c>
      <c r="F910" s="55" t="s">
        <v>2347</v>
      </c>
      <c r="I910" s="55" t="s">
        <v>851</v>
      </c>
    </row>
    <row r="911" customFormat="false" ht="11.25" hidden="false" customHeight="true" outlineLevel="0" collapsed="false">
      <c r="A911" s="55" t="s">
        <v>2243</v>
      </c>
      <c r="B911" s="55" t="s">
        <v>16</v>
      </c>
      <c r="C911" s="55" t="s">
        <v>4338</v>
      </c>
      <c r="D911" s="55" t="s">
        <v>4339</v>
      </c>
      <c r="E911" s="55" t="s">
        <v>4340</v>
      </c>
      <c r="F911" s="55" t="s">
        <v>2338</v>
      </c>
      <c r="I911" s="55" t="s">
        <v>851</v>
      </c>
    </row>
    <row r="912" customFormat="false" ht="11.25" hidden="false" customHeight="true" outlineLevel="0" collapsed="false">
      <c r="A912" s="55" t="s">
        <v>2243</v>
      </c>
      <c r="B912" s="55" t="s">
        <v>16</v>
      </c>
      <c r="C912" s="55" t="s">
        <v>4341</v>
      </c>
      <c r="D912" s="55" t="s">
        <v>4342</v>
      </c>
      <c r="E912" s="55" t="s">
        <v>4343</v>
      </c>
      <c r="F912" s="55" t="s">
        <v>2347</v>
      </c>
      <c r="I912" s="55" t="s">
        <v>851</v>
      </c>
    </row>
    <row r="913" customFormat="false" ht="11.25" hidden="false" customHeight="true" outlineLevel="0" collapsed="false">
      <c r="A913" s="55" t="s">
        <v>2243</v>
      </c>
      <c r="B913" s="55" t="s">
        <v>16</v>
      </c>
      <c r="C913" s="55" t="s">
        <v>4344</v>
      </c>
      <c r="D913" s="55" t="s">
        <v>4345</v>
      </c>
      <c r="E913" s="55" t="s">
        <v>4346</v>
      </c>
      <c r="F913" s="55" t="s">
        <v>2387</v>
      </c>
      <c r="I913" s="55" t="s">
        <v>851</v>
      </c>
    </row>
    <row r="914" customFormat="false" ht="11.25" hidden="false" customHeight="true" outlineLevel="0" collapsed="false">
      <c r="A914" s="55" t="s">
        <v>2243</v>
      </c>
      <c r="B914" s="55" t="s">
        <v>16</v>
      </c>
      <c r="C914" s="55" t="s">
        <v>4347</v>
      </c>
      <c r="D914" s="55" t="s">
        <v>4348</v>
      </c>
      <c r="E914" s="55" t="s">
        <v>4349</v>
      </c>
      <c r="F914" s="55" t="s">
        <v>2333</v>
      </c>
      <c r="I914" s="55" t="s">
        <v>851</v>
      </c>
    </row>
    <row r="915" customFormat="false" ht="11.25" hidden="false" customHeight="true" outlineLevel="0" collapsed="false">
      <c r="A915" s="55" t="s">
        <v>2243</v>
      </c>
      <c r="B915" s="55" t="s">
        <v>16</v>
      </c>
      <c r="C915" s="55" t="s">
        <v>2831</v>
      </c>
      <c r="D915" s="55" t="s">
        <v>2832</v>
      </c>
      <c r="E915" s="55" t="s">
        <v>2833</v>
      </c>
      <c r="F915" s="55" t="s">
        <v>2283</v>
      </c>
      <c r="I915" s="55" t="s">
        <v>851</v>
      </c>
    </row>
    <row r="916" customFormat="false" ht="11.25" hidden="false" customHeight="true" outlineLevel="0" collapsed="false">
      <c r="A916" s="55" t="s">
        <v>2243</v>
      </c>
      <c r="B916" s="55" t="s">
        <v>16</v>
      </c>
      <c r="C916" s="55" t="s">
        <v>4350</v>
      </c>
      <c r="D916" s="55" t="s">
        <v>4351</v>
      </c>
      <c r="E916" s="55" t="s">
        <v>4352</v>
      </c>
      <c r="F916" s="55" t="s">
        <v>2672</v>
      </c>
      <c r="I916" s="55" t="s">
        <v>851</v>
      </c>
    </row>
    <row r="917" customFormat="false" ht="11.25" hidden="false" customHeight="true" outlineLevel="0" collapsed="false">
      <c r="A917" s="55" t="s">
        <v>2243</v>
      </c>
      <c r="B917" s="55" t="s">
        <v>16</v>
      </c>
      <c r="C917" s="55" t="s">
        <v>4353</v>
      </c>
      <c r="D917" s="55" t="s">
        <v>4354</v>
      </c>
      <c r="E917" s="55" t="s">
        <v>4355</v>
      </c>
      <c r="F917" s="55" t="s">
        <v>2342</v>
      </c>
      <c r="I917" s="55" t="s">
        <v>851</v>
      </c>
    </row>
    <row r="918" customFormat="false" ht="11.25" hidden="false" customHeight="true" outlineLevel="0" collapsed="false">
      <c r="A918" s="55" t="s">
        <v>2243</v>
      </c>
      <c r="B918" s="55" t="s">
        <v>16</v>
      </c>
      <c r="C918" s="55" t="s">
        <v>2840</v>
      </c>
      <c r="D918" s="55" t="s">
        <v>2841</v>
      </c>
      <c r="E918" s="55" t="s">
        <v>2842</v>
      </c>
      <c r="F918" s="55" t="s">
        <v>2283</v>
      </c>
      <c r="I918" s="55" t="s">
        <v>851</v>
      </c>
    </row>
    <row r="919" customFormat="false" ht="11.25" hidden="false" customHeight="true" outlineLevel="0" collapsed="false">
      <c r="A919" s="55" t="s">
        <v>2243</v>
      </c>
      <c r="B919" s="55" t="s">
        <v>16</v>
      </c>
      <c r="C919" s="55" t="s">
        <v>2843</v>
      </c>
      <c r="D919" s="55" t="s">
        <v>2844</v>
      </c>
      <c r="E919" s="55" t="s">
        <v>2845</v>
      </c>
      <c r="F919" s="55" t="s">
        <v>2283</v>
      </c>
      <c r="I919" s="55" t="s">
        <v>851</v>
      </c>
    </row>
    <row r="920" customFormat="false" ht="11.25" hidden="false" customHeight="true" outlineLevel="0" collapsed="false">
      <c r="A920" s="55" t="s">
        <v>2243</v>
      </c>
      <c r="B920" s="55" t="s">
        <v>16</v>
      </c>
      <c r="C920" s="55" t="s">
        <v>4356</v>
      </c>
      <c r="D920" s="55" t="s">
        <v>4357</v>
      </c>
      <c r="E920" s="55" t="s">
        <v>4358</v>
      </c>
      <c r="F920" s="55" t="s">
        <v>2283</v>
      </c>
      <c r="I920" s="55" t="s">
        <v>851</v>
      </c>
    </row>
    <row r="921" customFormat="false" ht="11.25" hidden="false" customHeight="true" outlineLevel="0" collapsed="false">
      <c r="A921" s="55" t="s">
        <v>2243</v>
      </c>
      <c r="B921" s="55" t="s">
        <v>16</v>
      </c>
      <c r="C921" s="55" t="s">
        <v>4359</v>
      </c>
      <c r="D921" s="55" t="s">
        <v>4360</v>
      </c>
      <c r="E921" s="55" t="s">
        <v>4361</v>
      </c>
      <c r="F921" s="55" t="s">
        <v>2342</v>
      </c>
      <c r="I921" s="55" t="s">
        <v>851</v>
      </c>
    </row>
    <row r="922" customFormat="false" ht="11.25" hidden="false" customHeight="true" outlineLevel="0" collapsed="false">
      <c r="A922" s="55" t="s">
        <v>2243</v>
      </c>
      <c r="B922" s="55" t="s">
        <v>16</v>
      </c>
      <c r="C922" s="55" t="s">
        <v>4362</v>
      </c>
      <c r="D922" s="55" t="s">
        <v>4363</v>
      </c>
      <c r="E922" s="55" t="s">
        <v>4364</v>
      </c>
      <c r="F922" s="55" t="s">
        <v>2342</v>
      </c>
      <c r="I922" s="55" t="s">
        <v>851</v>
      </c>
    </row>
    <row r="923" customFormat="false" ht="11.25" hidden="false" customHeight="true" outlineLevel="0" collapsed="false">
      <c r="A923" s="55" t="s">
        <v>2243</v>
      </c>
      <c r="B923" s="55" t="s">
        <v>16</v>
      </c>
      <c r="C923" s="55" t="s">
        <v>2861</v>
      </c>
      <c r="D923" s="55" t="s">
        <v>2862</v>
      </c>
      <c r="E923" s="55" t="s">
        <v>2863</v>
      </c>
      <c r="F923" s="55" t="s">
        <v>2333</v>
      </c>
      <c r="I923" s="55" t="s">
        <v>851</v>
      </c>
    </row>
    <row r="924" customFormat="false" ht="11.25" hidden="false" customHeight="true" outlineLevel="0" collapsed="false">
      <c r="A924" s="55" t="s">
        <v>2243</v>
      </c>
      <c r="B924" s="55" t="s">
        <v>16</v>
      </c>
      <c r="C924" s="55" t="s">
        <v>2864</v>
      </c>
      <c r="D924" s="55" t="s">
        <v>2865</v>
      </c>
      <c r="E924" s="55" t="s">
        <v>2866</v>
      </c>
      <c r="F924" s="55" t="s">
        <v>2347</v>
      </c>
      <c r="I924" s="55" t="s">
        <v>851</v>
      </c>
    </row>
    <row r="925" customFormat="false" ht="11.25" hidden="false" customHeight="true" outlineLevel="0" collapsed="false">
      <c r="A925" s="55" t="s">
        <v>2243</v>
      </c>
      <c r="B925" s="55" t="s">
        <v>16</v>
      </c>
      <c r="C925" s="55" t="s">
        <v>4365</v>
      </c>
      <c r="D925" s="55" t="s">
        <v>4366</v>
      </c>
      <c r="E925" s="55" t="s">
        <v>4367</v>
      </c>
      <c r="F925" s="55" t="s">
        <v>2566</v>
      </c>
      <c r="I925" s="55" t="s">
        <v>851</v>
      </c>
    </row>
    <row r="926" customFormat="false" ht="11.25" hidden="false" customHeight="true" outlineLevel="0" collapsed="false">
      <c r="A926" s="55" t="s">
        <v>2243</v>
      </c>
      <c r="B926" s="55" t="s">
        <v>16</v>
      </c>
      <c r="C926" s="55" t="s">
        <v>2867</v>
      </c>
      <c r="D926" s="55" t="s">
        <v>2868</v>
      </c>
      <c r="E926" s="55" t="s">
        <v>2869</v>
      </c>
      <c r="F926" s="55" t="s">
        <v>2716</v>
      </c>
      <c r="G926" s="55" t="s">
        <v>2870</v>
      </c>
      <c r="I926" s="55" t="s">
        <v>851</v>
      </c>
    </row>
    <row r="927" customFormat="false" ht="11.25" hidden="false" customHeight="true" outlineLevel="0" collapsed="false">
      <c r="A927" s="55" t="s">
        <v>2243</v>
      </c>
      <c r="B927" s="55" t="s">
        <v>16</v>
      </c>
      <c r="C927" s="55" t="s">
        <v>4368</v>
      </c>
      <c r="D927" s="55" t="s">
        <v>4369</v>
      </c>
      <c r="E927" s="55" t="s">
        <v>4370</v>
      </c>
      <c r="F927" s="55" t="s">
        <v>2566</v>
      </c>
      <c r="I927" s="55" t="s">
        <v>851</v>
      </c>
    </row>
    <row r="928" customFormat="false" ht="11.25" hidden="false" customHeight="true" outlineLevel="0" collapsed="false">
      <c r="A928" s="55" t="s">
        <v>2243</v>
      </c>
      <c r="B928" s="55" t="s">
        <v>16</v>
      </c>
      <c r="C928" s="55" t="s">
        <v>4371</v>
      </c>
      <c r="D928" s="55" t="s">
        <v>4372</v>
      </c>
      <c r="E928" s="55" t="s">
        <v>4373</v>
      </c>
      <c r="F928" s="55" t="s">
        <v>2329</v>
      </c>
      <c r="I928" s="55" t="s">
        <v>851</v>
      </c>
    </row>
    <row r="929" customFormat="false" ht="11.25" hidden="false" customHeight="true" outlineLevel="0" collapsed="false">
      <c r="A929" s="55" t="s">
        <v>2243</v>
      </c>
      <c r="B929" s="55" t="s">
        <v>16</v>
      </c>
      <c r="C929" s="55" t="s">
        <v>2874</v>
      </c>
      <c r="D929" s="55" t="s">
        <v>2875</v>
      </c>
      <c r="E929" s="55" t="s">
        <v>2876</v>
      </c>
      <c r="F929" s="55" t="s">
        <v>2558</v>
      </c>
      <c r="I929" s="55" t="s">
        <v>851</v>
      </c>
    </row>
    <row r="930" customFormat="false" ht="11.25" hidden="false" customHeight="true" outlineLevel="0" collapsed="false">
      <c r="A930" s="55" t="s">
        <v>2243</v>
      </c>
      <c r="B930" s="55" t="s">
        <v>16</v>
      </c>
      <c r="C930" s="55" t="s">
        <v>4374</v>
      </c>
      <c r="D930" s="55" t="s">
        <v>4375</v>
      </c>
      <c r="E930" s="55" t="s">
        <v>4376</v>
      </c>
      <c r="F930" s="55" t="s">
        <v>2338</v>
      </c>
      <c r="I930" s="55" t="s">
        <v>851</v>
      </c>
    </row>
    <row r="931" customFormat="false" ht="11.25" hidden="false" customHeight="true" outlineLevel="0" collapsed="false">
      <c r="A931" s="55" t="s">
        <v>2243</v>
      </c>
      <c r="B931" s="55" t="s">
        <v>16</v>
      </c>
      <c r="C931" s="55" t="s">
        <v>2877</v>
      </c>
      <c r="D931" s="55" t="s">
        <v>2878</v>
      </c>
      <c r="E931" s="55" t="s">
        <v>2879</v>
      </c>
      <c r="F931" s="55" t="s">
        <v>2283</v>
      </c>
      <c r="I931" s="55" t="s">
        <v>851</v>
      </c>
    </row>
    <row r="932" customFormat="false" ht="11.25" hidden="false" customHeight="true" outlineLevel="0" collapsed="false">
      <c r="A932" s="55" t="s">
        <v>2243</v>
      </c>
      <c r="B932" s="55" t="s">
        <v>16</v>
      </c>
      <c r="C932" s="55" t="s">
        <v>4377</v>
      </c>
      <c r="D932" s="55" t="s">
        <v>4378</v>
      </c>
      <c r="E932" s="55" t="s">
        <v>4379</v>
      </c>
      <c r="F932" s="55" t="s">
        <v>3130</v>
      </c>
      <c r="I932" s="55" t="s">
        <v>851</v>
      </c>
    </row>
    <row r="933" customFormat="false" ht="11.25" hidden="false" customHeight="true" outlineLevel="0" collapsed="false">
      <c r="A933" s="55" t="s">
        <v>2243</v>
      </c>
      <c r="B933" s="55" t="s">
        <v>16</v>
      </c>
      <c r="C933" s="55" t="s">
        <v>4380</v>
      </c>
      <c r="D933" s="55" t="s">
        <v>4381</v>
      </c>
      <c r="E933" s="55" t="s">
        <v>4382</v>
      </c>
      <c r="F933" s="55" t="s">
        <v>2333</v>
      </c>
      <c r="I933" s="55" t="s">
        <v>851</v>
      </c>
    </row>
    <row r="934" customFormat="false" ht="11.25" hidden="false" customHeight="true" outlineLevel="0" collapsed="false">
      <c r="A934" s="55" t="s">
        <v>2243</v>
      </c>
      <c r="B934" s="55" t="s">
        <v>16</v>
      </c>
      <c r="C934" s="55" t="s">
        <v>4383</v>
      </c>
      <c r="D934" s="55" t="s">
        <v>4384</v>
      </c>
      <c r="E934" s="55" t="s">
        <v>4385</v>
      </c>
      <c r="F934" s="55" t="s">
        <v>2274</v>
      </c>
      <c r="I934" s="55" t="s">
        <v>851</v>
      </c>
    </row>
    <row r="935" customFormat="false" ht="11.25" hidden="false" customHeight="true" outlineLevel="0" collapsed="false">
      <c r="A935" s="55" t="s">
        <v>2243</v>
      </c>
      <c r="B935" s="55" t="s">
        <v>16</v>
      </c>
      <c r="C935" s="55" t="s">
        <v>4386</v>
      </c>
      <c r="D935" s="55" t="s">
        <v>4387</v>
      </c>
      <c r="E935" s="55" t="s">
        <v>4388</v>
      </c>
      <c r="F935" s="55" t="s">
        <v>2347</v>
      </c>
      <c r="I935" s="55" t="s">
        <v>851</v>
      </c>
    </row>
    <row r="936" customFormat="false" ht="11.25" hidden="false" customHeight="true" outlineLevel="0" collapsed="false">
      <c r="A936" s="55" t="s">
        <v>2243</v>
      </c>
      <c r="B936" s="55" t="s">
        <v>16</v>
      </c>
      <c r="C936" s="55" t="s">
        <v>2880</v>
      </c>
      <c r="D936" s="55" t="s">
        <v>2881</v>
      </c>
      <c r="E936" s="55" t="s">
        <v>2882</v>
      </c>
      <c r="F936" s="55" t="s">
        <v>2274</v>
      </c>
      <c r="I936" s="55" t="s">
        <v>851</v>
      </c>
    </row>
    <row r="937" customFormat="false" ht="11.25" hidden="false" customHeight="true" outlineLevel="0" collapsed="false">
      <c r="A937" s="55" t="s">
        <v>2243</v>
      </c>
      <c r="B937" s="55" t="s">
        <v>16</v>
      </c>
      <c r="C937" s="55" t="s">
        <v>4389</v>
      </c>
      <c r="D937" s="55" t="s">
        <v>4390</v>
      </c>
      <c r="E937" s="55" t="s">
        <v>4391</v>
      </c>
      <c r="F937" s="55" t="s">
        <v>2309</v>
      </c>
      <c r="I937" s="55" t="s">
        <v>851</v>
      </c>
    </row>
    <row r="938" customFormat="false" ht="11.25" hidden="false" customHeight="true" outlineLevel="0" collapsed="false">
      <c r="A938" s="55" t="s">
        <v>2243</v>
      </c>
      <c r="B938" s="55" t="s">
        <v>16</v>
      </c>
      <c r="C938" s="55" t="s">
        <v>4392</v>
      </c>
      <c r="D938" s="55" t="s">
        <v>4393</v>
      </c>
      <c r="E938" s="55" t="s">
        <v>4394</v>
      </c>
      <c r="F938" s="55" t="s">
        <v>2283</v>
      </c>
      <c r="I938" s="55" t="s">
        <v>851</v>
      </c>
    </row>
    <row r="939" customFormat="false" ht="11.25" hidden="false" customHeight="true" outlineLevel="0" collapsed="false">
      <c r="A939" s="55" t="s">
        <v>2243</v>
      </c>
      <c r="B939" s="55" t="s">
        <v>16</v>
      </c>
      <c r="C939" s="55" t="s">
        <v>2887</v>
      </c>
      <c r="D939" s="55" t="s">
        <v>2888</v>
      </c>
      <c r="E939" s="55" t="s">
        <v>2889</v>
      </c>
      <c r="F939" s="55" t="s">
        <v>2890</v>
      </c>
      <c r="I939" s="55" t="s">
        <v>851</v>
      </c>
    </row>
    <row r="940" customFormat="false" ht="11.25" hidden="false" customHeight="true" outlineLevel="0" collapsed="false">
      <c r="A940" s="55" t="s">
        <v>2243</v>
      </c>
      <c r="B940" s="55" t="s">
        <v>16</v>
      </c>
      <c r="C940" s="55" t="s">
        <v>2899</v>
      </c>
      <c r="D940" s="55" t="s">
        <v>2900</v>
      </c>
      <c r="E940" s="55" t="s">
        <v>2901</v>
      </c>
      <c r="F940" s="55" t="s">
        <v>2672</v>
      </c>
      <c r="G940" s="55" t="s">
        <v>2902</v>
      </c>
      <c r="I940" s="55" t="s">
        <v>851</v>
      </c>
    </row>
    <row r="941" customFormat="false" ht="11.25" hidden="false" customHeight="true" outlineLevel="0" collapsed="false">
      <c r="A941" s="55" t="s">
        <v>2243</v>
      </c>
      <c r="B941" s="55" t="s">
        <v>16</v>
      </c>
      <c r="C941" s="55" t="s">
        <v>2903</v>
      </c>
      <c r="D941" s="55" t="s">
        <v>2904</v>
      </c>
      <c r="E941" s="55" t="s">
        <v>2905</v>
      </c>
      <c r="F941" s="55" t="s">
        <v>2672</v>
      </c>
      <c r="G941" s="55" t="s">
        <v>2906</v>
      </c>
      <c r="I941" s="55" t="s">
        <v>851</v>
      </c>
    </row>
    <row r="942" customFormat="false" ht="11.25" hidden="false" customHeight="true" outlineLevel="0" collapsed="false">
      <c r="A942" s="55" t="s">
        <v>2243</v>
      </c>
      <c r="B942" s="55" t="s">
        <v>16</v>
      </c>
      <c r="C942" s="55" t="s">
        <v>2907</v>
      </c>
      <c r="D942" s="55" t="s">
        <v>2908</v>
      </c>
      <c r="E942" s="55" t="s">
        <v>2909</v>
      </c>
      <c r="F942" s="55" t="s">
        <v>2672</v>
      </c>
      <c r="G942" s="55" t="s">
        <v>2910</v>
      </c>
      <c r="I942" s="55" t="s">
        <v>851</v>
      </c>
    </row>
    <row r="943" customFormat="false" ht="11.25" hidden="false" customHeight="true" outlineLevel="0" collapsed="false">
      <c r="A943" s="55" t="s">
        <v>2243</v>
      </c>
      <c r="B943" s="55" t="s">
        <v>16</v>
      </c>
      <c r="C943" s="55" t="s">
        <v>2911</v>
      </c>
      <c r="D943" s="55" t="s">
        <v>2912</v>
      </c>
      <c r="E943" s="55" t="s">
        <v>2913</v>
      </c>
      <c r="F943" s="55" t="s">
        <v>2672</v>
      </c>
      <c r="G943" s="55" t="s">
        <v>2914</v>
      </c>
      <c r="I943" s="55" t="s">
        <v>851</v>
      </c>
    </row>
    <row r="944" customFormat="false" ht="11.25" hidden="false" customHeight="true" outlineLevel="0" collapsed="false">
      <c r="A944" s="55" t="s">
        <v>2243</v>
      </c>
      <c r="B944" s="55" t="s">
        <v>16</v>
      </c>
      <c r="C944" s="55" t="s">
        <v>2915</v>
      </c>
      <c r="D944" s="55" t="s">
        <v>2916</v>
      </c>
      <c r="E944" s="55" t="s">
        <v>2917</v>
      </c>
      <c r="F944" s="55" t="s">
        <v>2672</v>
      </c>
      <c r="I944" s="55" t="s">
        <v>851</v>
      </c>
    </row>
    <row r="945" customFormat="false" ht="11.25" hidden="false" customHeight="true" outlineLevel="0" collapsed="false">
      <c r="A945" s="55" t="s">
        <v>2243</v>
      </c>
      <c r="B945" s="55" t="s">
        <v>16</v>
      </c>
      <c r="C945" s="55" t="s">
        <v>2927</v>
      </c>
      <c r="D945" s="55" t="s">
        <v>2928</v>
      </c>
      <c r="E945" s="55" t="s">
        <v>2929</v>
      </c>
      <c r="F945" s="55" t="s">
        <v>2333</v>
      </c>
      <c r="G945" s="55" t="s">
        <v>2930</v>
      </c>
      <c r="I945" s="55" t="s">
        <v>851</v>
      </c>
    </row>
    <row r="946" customFormat="false" ht="11.25" hidden="false" customHeight="true" outlineLevel="0" collapsed="false">
      <c r="A946" s="55" t="s">
        <v>2243</v>
      </c>
      <c r="B946" s="55" t="s">
        <v>16</v>
      </c>
      <c r="C946" s="55" t="s">
        <v>4395</v>
      </c>
      <c r="D946" s="55" t="s">
        <v>4396</v>
      </c>
      <c r="E946" s="55" t="s">
        <v>4397</v>
      </c>
      <c r="F946" s="55" t="s">
        <v>2387</v>
      </c>
      <c r="I946" s="55" t="s">
        <v>851</v>
      </c>
    </row>
    <row r="947" customFormat="false" ht="11.25" hidden="false" customHeight="true" outlineLevel="0" collapsed="false">
      <c r="A947" s="55" t="s">
        <v>2243</v>
      </c>
      <c r="B947" s="55" t="s">
        <v>16</v>
      </c>
      <c r="C947" s="55" t="s">
        <v>2931</v>
      </c>
      <c r="D947" s="55" t="s">
        <v>2932</v>
      </c>
      <c r="E947" s="55" t="s">
        <v>2933</v>
      </c>
      <c r="F947" s="55" t="s">
        <v>2333</v>
      </c>
      <c r="I947" s="55" t="s">
        <v>851</v>
      </c>
    </row>
    <row r="948" customFormat="false" ht="11.25" hidden="false" customHeight="true" outlineLevel="0" collapsed="false">
      <c r="A948" s="55" t="s">
        <v>2243</v>
      </c>
      <c r="B948" s="55" t="s">
        <v>16</v>
      </c>
      <c r="C948" s="55" t="s">
        <v>4398</v>
      </c>
      <c r="D948" s="55" t="s">
        <v>4399</v>
      </c>
      <c r="E948" s="55" t="s">
        <v>4400</v>
      </c>
      <c r="F948" s="55" t="s">
        <v>2672</v>
      </c>
      <c r="I948" s="55" t="s">
        <v>851</v>
      </c>
    </row>
    <row r="949" customFormat="false" ht="11.25" hidden="false" customHeight="true" outlineLevel="0" collapsed="false">
      <c r="A949" s="55" t="s">
        <v>2243</v>
      </c>
      <c r="B949" s="55" t="s">
        <v>16</v>
      </c>
      <c r="C949" s="55" t="s">
        <v>2934</v>
      </c>
      <c r="D949" s="55" t="s">
        <v>2935</v>
      </c>
      <c r="E949" s="55" t="s">
        <v>2936</v>
      </c>
      <c r="F949" s="55" t="s">
        <v>2247</v>
      </c>
      <c r="G949" s="55" t="s">
        <v>2937</v>
      </c>
      <c r="I949" s="55" t="s">
        <v>851</v>
      </c>
    </row>
    <row r="950" customFormat="false" ht="11.25" hidden="false" customHeight="true" outlineLevel="0" collapsed="false">
      <c r="A950" s="55" t="s">
        <v>2243</v>
      </c>
      <c r="B950" s="55" t="s">
        <v>16</v>
      </c>
      <c r="C950" s="55" t="s">
        <v>4401</v>
      </c>
      <c r="D950" s="55" t="s">
        <v>4402</v>
      </c>
      <c r="E950" s="55" t="s">
        <v>4403</v>
      </c>
      <c r="F950" s="55" t="s">
        <v>2566</v>
      </c>
      <c r="I950" s="55" t="s">
        <v>851</v>
      </c>
    </row>
    <row r="951" customFormat="false" ht="11.25" hidden="false" customHeight="true" outlineLevel="0" collapsed="false">
      <c r="A951" s="55" t="s">
        <v>2243</v>
      </c>
      <c r="B951" s="55" t="s">
        <v>16</v>
      </c>
      <c r="C951" s="55" t="s">
        <v>4404</v>
      </c>
      <c r="D951" s="55" t="s">
        <v>4405</v>
      </c>
      <c r="E951" s="55" t="s">
        <v>4406</v>
      </c>
      <c r="F951" s="55" t="s">
        <v>2338</v>
      </c>
      <c r="G951" s="55" t="s">
        <v>4407</v>
      </c>
      <c r="I951" s="55" t="s">
        <v>851</v>
      </c>
    </row>
    <row r="952" customFormat="false" ht="11.25" hidden="false" customHeight="true" outlineLevel="0" collapsed="false">
      <c r="A952" s="55" t="s">
        <v>2243</v>
      </c>
      <c r="B952" s="55" t="s">
        <v>16</v>
      </c>
      <c r="C952" s="55" t="s">
        <v>4408</v>
      </c>
      <c r="D952" s="55" t="s">
        <v>4409</v>
      </c>
      <c r="E952" s="55" t="s">
        <v>4410</v>
      </c>
      <c r="F952" s="55" t="s">
        <v>3130</v>
      </c>
      <c r="I952" s="55" t="s">
        <v>851</v>
      </c>
    </row>
    <row r="953" customFormat="false" ht="11.25" hidden="false" customHeight="true" outlineLevel="0" collapsed="false">
      <c r="A953" s="55" t="s">
        <v>2243</v>
      </c>
      <c r="B953" s="55" t="s">
        <v>16</v>
      </c>
      <c r="C953" s="55" t="s">
        <v>4411</v>
      </c>
      <c r="D953" s="55" t="s">
        <v>4412</v>
      </c>
      <c r="E953" s="55" t="s">
        <v>4413</v>
      </c>
      <c r="F953" s="55" t="s">
        <v>2329</v>
      </c>
      <c r="G953" s="55" t="s">
        <v>4414</v>
      </c>
      <c r="I953" s="55" t="s">
        <v>851</v>
      </c>
    </row>
    <row r="954" customFormat="false" ht="11.25" hidden="false" customHeight="true" outlineLevel="0" collapsed="false">
      <c r="A954" s="55" t="s">
        <v>2243</v>
      </c>
      <c r="B954" s="55" t="s">
        <v>16</v>
      </c>
      <c r="C954" s="55" t="s">
        <v>2941</v>
      </c>
      <c r="D954" s="55" t="s">
        <v>2942</v>
      </c>
      <c r="E954" s="55" t="s">
        <v>2943</v>
      </c>
      <c r="F954" s="55" t="s">
        <v>2342</v>
      </c>
      <c r="G954" s="55" t="s">
        <v>2944</v>
      </c>
      <c r="I954" s="55" t="s">
        <v>851</v>
      </c>
    </row>
    <row r="955" customFormat="false" ht="11.25" hidden="false" customHeight="true" outlineLevel="0" collapsed="false">
      <c r="A955" s="55" t="s">
        <v>2243</v>
      </c>
      <c r="B955" s="55" t="s">
        <v>16</v>
      </c>
      <c r="C955" s="55" t="s">
        <v>2945</v>
      </c>
      <c r="D955" s="55" t="s">
        <v>2946</v>
      </c>
      <c r="E955" s="55" t="s">
        <v>2947</v>
      </c>
      <c r="F955" s="55" t="s">
        <v>2566</v>
      </c>
      <c r="I955" s="55" t="s">
        <v>851</v>
      </c>
    </row>
    <row r="956" customFormat="false" ht="11.25" hidden="false" customHeight="true" outlineLevel="0" collapsed="false">
      <c r="A956" s="55" t="s">
        <v>2243</v>
      </c>
      <c r="B956" s="55" t="s">
        <v>16</v>
      </c>
      <c r="C956" s="55" t="s">
        <v>4415</v>
      </c>
      <c r="D956" s="55" t="s">
        <v>4416</v>
      </c>
      <c r="E956" s="55" t="s">
        <v>4417</v>
      </c>
      <c r="F956" s="55" t="s">
        <v>2566</v>
      </c>
      <c r="G956" s="55" t="s">
        <v>4418</v>
      </c>
      <c r="I956" s="55" t="s">
        <v>851</v>
      </c>
    </row>
    <row r="957" customFormat="false" ht="11.25" hidden="false" customHeight="true" outlineLevel="0" collapsed="false">
      <c r="A957" s="55" t="s">
        <v>2243</v>
      </c>
      <c r="B957" s="55" t="s">
        <v>16</v>
      </c>
      <c r="C957" s="55" t="s">
        <v>4419</v>
      </c>
      <c r="D957" s="55" t="s">
        <v>4420</v>
      </c>
      <c r="E957" s="55" t="s">
        <v>4421</v>
      </c>
      <c r="F957" s="55" t="s">
        <v>2338</v>
      </c>
      <c r="G957" s="55" t="s">
        <v>4422</v>
      </c>
      <c r="I957" s="55" t="s">
        <v>851</v>
      </c>
    </row>
    <row r="958" customFormat="false" ht="11.25" hidden="false" customHeight="true" outlineLevel="0" collapsed="false">
      <c r="A958" s="55" t="s">
        <v>2243</v>
      </c>
      <c r="B958" s="55" t="s">
        <v>16</v>
      </c>
      <c r="C958" s="55" t="s">
        <v>2948</v>
      </c>
      <c r="D958" s="55" t="s">
        <v>2949</v>
      </c>
      <c r="E958" s="55" t="s">
        <v>2950</v>
      </c>
      <c r="F958" s="55" t="s">
        <v>2283</v>
      </c>
      <c r="G958" s="55" t="s">
        <v>2951</v>
      </c>
      <c r="I958" s="55" t="s">
        <v>851</v>
      </c>
    </row>
    <row r="959" customFormat="false" ht="11.25" hidden="false" customHeight="true" outlineLevel="0" collapsed="false">
      <c r="A959" s="55" t="s">
        <v>2243</v>
      </c>
      <c r="B959" s="55" t="s">
        <v>16</v>
      </c>
      <c r="C959" s="55" t="s">
        <v>2952</v>
      </c>
      <c r="D959" s="55" t="s">
        <v>2953</v>
      </c>
      <c r="E959" s="55" t="s">
        <v>2954</v>
      </c>
      <c r="F959" s="55" t="s">
        <v>2333</v>
      </c>
      <c r="G959" s="55" t="s">
        <v>2955</v>
      </c>
      <c r="I959" s="55" t="s">
        <v>851</v>
      </c>
    </row>
    <row r="960" customFormat="false" ht="11.25" hidden="false" customHeight="true" outlineLevel="0" collapsed="false">
      <c r="A960" s="55" t="s">
        <v>2243</v>
      </c>
      <c r="B960" s="55" t="s">
        <v>16</v>
      </c>
      <c r="C960" s="55" t="s">
        <v>2964</v>
      </c>
      <c r="D960" s="55" t="s">
        <v>2965</v>
      </c>
      <c r="E960" s="55" t="s">
        <v>2966</v>
      </c>
      <c r="F960" s="55" t="s">
        <v>2309</v>
      </c>
      <c r="I960" s="55" t="s">
        <v>851</v>
      </c>
    </row>
    <row r="961" customFormat="false" ht="11.25" hidden="false" customHeight="true" outlineLevel="0" collapsed="false">
      <c r="A961" s="55" t="s">
        <v>2243</v>
      </c>
      <c r="B961" s="55" t="s">
        <v>16</v>
      </c>
      <c r="C961" s="55" t="s">
        <v>4423</v>
      </c>
      <c r="D961" s="55" t="s">
        <v>4424</v>
      </c>
      <c r="E961" s="55" t="s">
        <v>4425</v>
      </c>
      <c r="F961" s="55" t="s">
        <v>2890</v>
      </c>
      <c r="I961" s="55" t="s">
        <v>851</v>
      </c>
    </row>
    <row r="962" customFormat="false" ht="11.25" hidden="false" customHeight="true" outlineLevel="0" collapsed="false">
      <c r="A962" s="55" t="s">
        <v>2243</v>
      </c>
      <c r="B962" s="55" t="s">
        <v>16</v>
      </c>
      <c r="C962" s="55" t="s">
        <v>2967</v>
      </c>
      <c r="D962" s="55" t="s">
        <v>2968</v>
      </c>
      <c r="E962" s="55" t="s">
        <v>2969</v>
      </c>
      <c r="F962" s="55" t="s">
        <v>2274</v>
      </c>
      <c r="I962" s="55" t="s">
        <v>851</v>
      </c>
    </row>
    <row r="963" customFormat="false" ht="11.25" hidden="false" customHeight="true" outlineLevel="0" collapsed="false">
      <c r="A963" s="55" t="s">
        <v>2243</v>
      </c>
      <c r="B963" s="55" t="s">
        <v>16</v>
      </c>
      <c r="C963" s="55" t="s">
        <v>2970</v>
      </c>
      <c r="D963" s="55" t="s">
        <v>2971</v>
      </c>
      <c r="E963" s="55" t="s">
        <v>2972</v>
      </c>
      <c r="F963" s="55" t="s">
        <v>2338</v>
      </c>
      <c r="I963" s="55" t="s">
        <v>851</v>
      </c>
    </row>
    <row r="964" customFormat="false" ht="11.25" hidden="false" customHeight="true" outlineLevel="0" collapsed="false">
      <c r="A964" s="55" t="s">
        <v>2243</v>
      </c>
      <c r="B964" s="55" t="s">
        <v>16</v>
      </c>
      <c r="C964" s="55" t="s">
        <v>2973</v>
      </c>
      <c r="D964" s="55" t="s">
        <v>2974</v>
      </c>
      <c r="E964" s="55" t="s">
        <v>2975</v>
      </c>
      <c r="F964" s="55" t="s">
        <v>2338</v>
      </c>
      <c r="G964" s="55" t="s">
        <v>2976</v>
      </c>
      <c r="I964" s="55" t="s">
        <v>851</v>
      </c>
    </row>
    <row r="965" customFormat="false" ht="11.25" hidden="false" customHeight="true" outlineLevel="0" collapsed="false">
      <c r="A965" s="55" t="s">
        <v>2243</v>
      </c>
      <c r="B965" s="55" t="s">
        <v>16</v>
      </c>
      <c r="C965" s="55" t="s">
        <v>2977</v>
      </c>
      <c r="D965" s="55" t="s">
        <v>2978</v>
      </c>
      <c r="E965" s="55" t="s">
        <v>2979</v>
      </c>
      <c r="F965" s="55" t="s">
        <v>2709</v>
      </c>
      <c r="G965" s="55" t="s">
        <v>2980</v>
      </c>
      <c r="I965" s="55" t="s">
        <v>851</v>
      </c>
    </row>
    <row r="966" customFormat="false" ht="11.25" hidden="false" customHeight="true" outlineLevel="0" collapsed="false">
      <c r="A966" s="55" t="s">
        <v>2243</v>
      </c>
      <c r="B966" s="55" t="s">
        <v>16</v>
      </c>
      <c r="C966" s="55" t="s">
        <v>2981</v>
      </c>
      <c r="D966" s="55" t="s">
        <v>2982</v>
      </c>
      <c r="E966" s="55" t="s">
        <v>2983</v>
      </c>
      <c r="F966" s="55" t="s">
        <v>2672</v>
      </c>
      <c r="I966" s="55" t="s">
        <v>851</v>
      </c>
    </row>
    <row r="967" customFormat="false" ht="11.25" hidden="false" customHeight="true" outlineLevel="0" collapsed="false">
      <c r="A967" s="55" t="s">
        <v>2243</v>
      </c>
      <c r="B967" s="55" t="s">
        <v>16</v>
      </c>
      <c r="C967" s="55" t="s">
        <v>2984</v>
      </c>
      <c r="D967" s="55" t="s">
        <v>2985</v>
      </c>
      <c r="E967" s="55" t="s">
        <v>2986</v>
      </c>
      <c r="F967" s="55" t="s">
        <v>2338</v>
      </c>
      <c r="I967" s="55" t="s">
        <v>851</v>
      </c>
    </row>
    <row r="968" customFormat="false" ht="11.25" hidden="false" customHeight="true" outlineLevel="0" collapsed="false">
      <c r="A968" s="55" t="s">
        <v>2243</v>
      </c>
      <c r="B968" s="55" t="s">
        <v>16</v>
      </c>
      <c r="C968" s="55" t="s">
        <v>2987</v>
      </c>
      <c r="D968" s="55" t="s">
        <v>2988</v>
      </c>
      <c r="E968" s="55" t="s">
        <v>2989</v>
      </c>
      <c r="F968" s="55" t="s">
        <v>2274</v>
      </c>
      <c r="G968" s="55" t="s">
        <v>2990</v>
      </c>
      <c r="I968" s="55" t="s">
        <v>851</v>
      </c>
    </row>
    <row r="969" customFormat="false" ht="11.25" hidden="false" customHeight="true" outlineLevel="0" collapsed="false">
      <c r="A969" s="55" t="s">
        <v>2243</v>
      </c>
      <c r="B969" s="55" t="s">
        <v>16</v>
      </c>
      <c r="C969" s="55" t="s">
        <v>2995</v>
      </c>
      <c r="D969" s="55" t="s">
        <v>2996</v>
      </c>
      <c r="E969" s="55" t="s">
        <v>2997</v>
      </c>
      <c r="F969" s="55" t="s">
        <v>2566</v>
      </c>
      <c r="G969" s="55" t="s">
        <v>2998</v>
      </c>
      <c r="I969" s="55" t="s">
        <v>851</v>
      </c>
    </row>
    <row r="970" customFormat="false" ht="11.25" hidden="false" customHeight="true" outlineLevel="0" collapsed="false">
      <c r="A970" s="55" t="s">
        <v>2243</v>
      </c>
      <c r="B970" s="55" t="s">
        <v>16</v>
      </c>
      <c r="C970" s="55" t="s">
        <v>2999</v>
      </c>
      <c r="D970" s="55" t="s">
        <v>3000</v>
      </c>
      <c r="E970" s="55" t="s">
        <v>3001</v>
      </c>
      <c r="F970" s="55" t="s">
        <v>2558</v>
      </c>
      <c r="I970" s="55" t="s">
        <v>851</v>
      </c>
    </row>
    <row r="971" customFormat="false" ht="11.25" hidden="false" customHeight="true" outlineLevel="0" collapsed="false">
      <c r="A971" s="55" t="s">
        <v>2243</v>
      </c>
      <c r="B971" s="55" t="s">
        <v>16</v>
      </c>
      <c r="C971" s="55" t="s">
        <v>3002</v>
      </c>
      <c r="D971" s="55" t="s">
        <v>3003</v>
      </c>
      <c r="E971" s="55" t="s">
        <v>3004</v>
      </c>
      <c r="F971" s="55" t="s">
        <v>2672</v>
      </c>
      <c r="G971" s="55" t="s">
        <v>3005</v>
      </c>
      <c r="I971" s="55" t="s">
        <v>851</v>
      </c>
    </row>
    <row r="972" customFormat="false" ht="11.25" hidden="false" customHeight="true" outlineLevel="0" collapsed="false">
      <c r="A972" s="55" t="s">
        <v>2243</v>
      </c>
      <c r="B972" s="55" t="s">
        <v>16</v>
      </c>
      <c r="C972" s="55" t="s">
        <v>3006</v>
      </c>
      <c r="D972" s="55" t="s">
        <v>3007</v>
      </c>
      <c r="E972" s="55" t="s">
        <v>3008</v>
      </c>
      <c r="F972" s="55" t="s">
        <v>2342</v>
      </c>
      <c r="G972" s="55" t="s">
        <v>3009</v>
      </c>
      <c r="I972" s="55" t="s">
        <v>851</v>
      </c>
    </row>
    <row r="973" customFormat="false" ht="11.25" hidden="false" customHeight="true" outlineLevel="0" collapsed="false">
      <c r="A973" s="55" t="s">
        <v>2243</v>
      </c>
      <c r="B973" s="55" t="s">
        <v>16</v>
      </c>
      <c r="C973" s="55" t="s">
        <v>4426</v>
      </c>
      <c r="D973" s="55" t="s">
        <v>4427</v>
      </c>
      <c r="E973" s="55" t="s">
        <v>4428</v>
      </c>
      <c r="F973" s="55" t="s">
        <v>2347</v>
      </c>
      <c r="G973" s="55" t="s">
        <v>4429</v>
      </c>
      <c r="I973" s="55" t="s">
        <v>851</v>
      </c>
    </row>
    <row r="974" customFormat="false" ht="11.25" hidden="false" customHeight="true" outlineLevel="0" collapsed="false">
      <c r="A974" s="55" t="s">
        <v>2243</v>
      </c>
      <c r="B974" s="55" t="s">
        <v>16</v>
      </c>
      <c r="C974" s="55" t="s">
        <v>4430</v>
      </c>
      <c r="D974" s="55" t="s">
        <v>4431</v>
      </c>
      <c r="E974" s="55" t="s">
        <v>4432</v>
      </c>
      <c r="F974" s="55" t="s">
        <v>2387</v>
      </c>
      <c r="I974" s="55" t="s">
        <v>851</v>
      </c>
    </row>
    <row r="975" customFormat="false" ht="11.25" hidden="false" customHeight="true" outlineLevel="0" collapsed="false">
      <c r="A975" s="55" t="s">
        <v>2243</v>
      </c>
      <c r="B975" s="55" t="s">
        <v>16</v>
      </c>
      <c r="C975" s="55" t="s">
        <v>3010</v>
      </c>
      <c r="D975" s="55" t="s">
        <v>3011</v>
      </c>
      <c r="E975" s="55" t="s">
        <v>3012</v>
      </c>
      <c r="F975" s="55" t="s">
        <v>2274</v>
      </c>
      <c r="I975" s="55" t="s">
        <v>851</v>
      </c>
    </row>
    <row r="976" customFormat="false" ht="11.25" hidden="false" customHeight="true" outlineLevel="0" collapsed="false">
      <c r="A976" s="55" t="s">
        <v>2243</v>
      </c>
      <c r="B976" s="55" t="s">
        <v>16</v>
      </c>
      <c r="C976" s="55" t="s">
        <v>3013</v>
      </c>
      <c r="D976" s="55" t="s">
        <v>3014</v>
      </c>
      <c r="E976" s="55" t="s">
        <v>3015</v>
      </c>
      <c r="F976" s="55" t="s">
        <v>2333</v>
      </c>
      <c r="I976" s="55" t="s">
        <v>851</v>
      </c>
    </row>
    <row r="977" customFormat="false" ht="11.25" hidden="false" customHeight="true" outlineLevel="0" collapsed="false">
      <c r="A977" s="55" t="s">
        <v>2243</v>
      </c>
      <c r="B977" s="55" t="s">
        <v>16</v>
      </c>
      <c r="C977" s="55" t="s">
        <v>3016</v>
      </c>
      <c r="D977" s="55" t="s">
        <v>3017</v>
      </c>
      <c r="E977" s="55" t="s">
        <v>3018</v>
      </c>
      <c r="F977" s="55" t="s">
        <v>3019</v>
      </c>
      <c r="I977" s="55" t="s">
        <v>851</v>
      </c>
    </row>
    <row r="978" customFormat="false" ht="11.25" hidden="false" customHeight="true" outlineLevel="0" collapsed="false">
      <c r="A978" s="55" t="s">
        <v>2243</v>
      </c>
      <c r="B978" s="55" t="s">
        <v>16</v>
      </c>
      <c r="C978" s="55" t="s">
        <v>4433</v>
      </c>
      <c r="D978" s="55" t="s">
        <v>4434</v>
      </c>
      <c r="E978" s="55" t="s">
        <v>4435</v>
      </c>
      <c r="F978" s="55" t="s">
        <v>2283</v>
      </c>
      <c r="G978" s="55" t="s">
        <v>4436</v>
      </c>
      <c r="I978" s="55" t="s">
        <v>851</v>
      </c>
    </row>
    <row r="979" customFormat="false" ht="11.25" hidden="false" customHeight="true" outlineLevel="0" collapsed="false">
      <c r="A979" s="55" t="s">
        <v>2243</v>
      </c>
      <c r="B979" s="55" t="s">
        <v>16</v>
      </c>
      <c r="C979" s="55" t="s">
        <v>4437</v>
      </c>
      <c r="D979" s="55" t="s">
        <v>4438</v>
      </c>
      <c r="E979" s="55" t="s">
        <v>4439</v>
      </c>
      <c r="F979" s="55" t="s">
        <v>2672</v>
      </c>
      <c r="I979" s="55" t="s">
        <v>851</v>
      </c>
    </row>
    <row r="980" customFormat="false" ht="11.25" hidden="false" customHeight="true" outlineLevel="0" collapsed="false">
      <c r="A980" s="55" t="s">
        <v>2243</v>
      </c>
      <c r="B980" s="55" t="s">
        <v>16</v>
      </c>
      <c r="C980" s="55" t="s">
        <v>3024</v>
      </c>
      <c r="D980" s="55" t="s">
        <v>3025</v>
      </c>
      <c r="E980" s="55" t="s">
        <v>3026</v>
      </c>
      <c r="F980" s="55" t="s">
        <v>2342</v>
      </c>
      <c r="G980" s="55" t="s">
        <v>3027</v>
      </c>
      <c r="I980" s="55" t="s">
        <v>851</v>
      </c>
    </row>
    <row r="981" customFormat="false" ht="11.25" hidden="false" customHeight="true" outlineLevel="0" collapsed="false">
      <c r="A981" s="55" t="s">
        <v>2243</v>
      </c>
      <c r="B981" s="55" t="s">
        <v>16</v>
      </c>
      <c r="C981" s="55" t="s">
        <v>3032</v>
      </c>
      <c r="D981" s="55" t="s">
        <v>3033</v>
      </c>
      <c r="E981" s="55" t="s">
        <v>3034</v>
      </c>
      <c r="F981" s="55" t="s">
        <v>2283</v>
      </c>
      <c r="G981" s="55" t="s">
        <v>3035</v>
      </c>
      <c r="I981" s="55" t="s">
        <v>851</v>
      </c>
    </row>
    <row r="982" customFormat="false" ht="11.25" hidden="false" customHeight="true" outlineLevel="0" collapsed="false">
      <c r="A982" s="55" t="s">
        <v>2243</v>
      </c>
      <c r="B982" s="55" t="s">
        <v>16</v>
      </c>
      <c r="C982" s="55" t="s">
        <v>3036</v>
      </c>
      <c r="D982" s="55" t="s">
        <v>3037</v>
      </c>
      <c r="E982" s="55" t="s">
        <v>3038</v>
      </c>
      <c r="F982" s="55" t="s">
        <v>2274</v>
      </c>
      <c r="G982" s="55" t="s">
        <v>3039</v>
      </c>
      <c r="I982" s="55" t="s">
        <v>851</v>
      </c>
    </row>
    <row r="983" customFormat="false" ht="11.25" hidden="false" customHeight="true" outlineLevel="0" collapsed="false">
      <c r="A983" s="55" t="s">
        <v>2243</v>
      </c>
      <c r="B983" s="55" t="s">
        <v>16</v>
      </c>
      <c r="C983" s="55" t="s">
        <v>3040</v>
      </c>
      <c r="D983" s="55" t="s">
        <v>3041</v>
      </c>
      <c r="E983" s="55" t="s">
        <v>3042</v>
      </c>
      <c r="F983" s="55" t="s">
        <v>2274</v>
      </c>
      <c r="G983" s="55" t="s">
        <v>2994</v>
      </c>
      <c r="I983" s="55" t="s">
        <v>851</v>
      </c>
    </row>
    <row r="984" customFormat="false" ht="11.25" hidden="false" customHeight="true" outlineLevel="0" collapsed="false">
      <c r="A984" s="55" t="s">
        <v>2243</v>
      </c>
      <c r="B984" s="55" t="s">
        <v>16</v>
      </c>
      <c r="C984" s="55" t="s">
        <v>3047</v>
      </c>
      <c r="D984" s="55" t="s">
        <v>3048</v>
      </c>
      <c r="E984" s="55" t="s">
        <v>3049</v>
      </c>
      <c r="F984" s="55" t="s">
        <v>2283</v>
      </c>
      <c r="I984" s="55" t="s">
        <v>851</v>
      </c>
    </row>
    <row r="985" customFormat="false" ht="11.25" hidden="false" customHeight="true" outlineLevel="0" collapsed="false">
      <c r="A985" s="55" t="s">
        <v>2243</v>
      </c>
      <c r="B985" s="55" t="s">
        <v>16</v>
      </c>
      <c r="C985" s="55" t="s">
        <v>3050</v>
      </c>
      <c r="D985" s="55" t="s">
        <v>3051</v>
      </c>
      <c r="E985" s="55" t="s">
        <v>3052</v>
      </c>
      <c r="F985" s="55" t="s">
        <v>2338</v>
      </c>
      <c r="G985" s="55" t="s">
        <v>3053</v>
      </c>
      <c r="I985" s="55" t="s">
        <v>851</v>
      </c>
    </row>
    <row r="986" customFormat="false" ht="11.25" hidden="false" customHeight="true" outlineLevel="0" collapsed="false">
      <c r="A986" s="55" t="s">
        <v>2243</v>
      </c>
      <c r="B986" s="55" t="s">
        <v>16</v>
      </c>
      <c r="C986" s="55" t="s">
        <v>3069</v>
      </c>
      <c r="D986" s="55" t="s">
        <v>3070</v>
      </c>
      <c r="E986" s="55" t="s">
        <v>3071</v>
      </c>
      <c r="F986" s="55" t="s">
        <v>2387</v>
      </c>
      <c r="G986" s="55" t="s">
        <v>3072</v>
      </c>
      <c r="I986" s="55" t="s">
        <v>851</v>
      </c>
    </row>
    <row r="987" customFormat="false" ht="11.25" hidden="false" customHeight="true" outlineLevel="0" collapsed="false">
      <c r="A987" s="55" t="s">
        <v>2243</v>
      </c>
      <c r="B987" s="55" t="s">
        <v>16</v>
      </c>
      <c r="C987" s="55" t="s">
        <v>3073</v>
      </c>
      <c r="D987" s="55" t="s">
        <v>3074</v>
      </c>
      <c r="E987" s="55" t="s">
        <v>3075</v>
      </c>
      <c r="F987" s="55" t="s">
        <v>3076</v>
      </c>
      <c r="G987" s="55" t="s">
        <v>3077</v>
      </c>
      <c r="I987" s="55" t="s">
        <v>851</v>
      </c>
    </row>
    <row r="988" customFormat="false" ht="11.25" hidden="false" customHeight="true" outlineLevel="0" collapsed="false">
      <c r="A988" s="55" t="s">
        <v>2243</v>
      </c>
      <c r="B988" s="55" t="s">
        <v>16</v>
      </c>
      <c r="C988" s="55" t="s">
        <v>3081</v>
      </c>
      <c r="D988" s="55" t="s">
        <v>3082</v>
      </c>
      <c r="E988" s="55" t="s">
        <v>3083</v>
      </c>
      <c r="F988" s="55" t="s">
        <v>2342</v>
      </c>
      <c r="G988" s="55" t="s">
        <v>3084</v>
      </c>
      <c r="I988" s="55" t="s">
        <v>851</v>
      </c>
    </row>
    <row r="989" customFormat="false" ht="11.25" hidden="false" customHeight="true" outlineLevel="0" collapsed="false">
      <c r="A989" s="55" t="s">
        <v>2243</v>
      </c>
      <c r="B989" s="55" t="s">
        <v>16</v>
      </c>
      <c r="C989" s="55" t="s">
        <v>3085</v>
      </c>
      <c r="D989" s="55" t="s">
        <v>3086</v>
      </c>
      <c r="E989" s="55" t="s">
        <v>3087</v>
      </c>
      <c r="F989" s="55" t="s">
        <v>2338</v>
      </c>
      <c r="G989" s="55" t="s">
        <v>3088</v>
      </c>
      <c r="I989" s="55" t="s">
        <v>851</v>
      </c>
    </row>
    <row r="990" customFormat="false" ht="11.25" hidden="false" customHeight="true" outlineLevel="0" collapsed="false">
      <c r="A990" s="55" t="s">
        <v>2243</v>
      </c>
      <c r="B990" s="55" t="s">
        <v>16</v>
      </c>
      <c r="C990" s="55" t="s">
        <v>3089</v>
      </c>
      <c r="D990" s="55" t="s">
        <v>3090</v>
      </c>
      <c r="E990" s="55" t="s">
        <v>3091</v>
      </c>
      <c r="F990" s="55" t="s">
        <v>2338</v>
      </c>
      <c r="G990" s="55" t="s">
        <v>3092</v>
      </c>
      <c r="I990" s="55" t="s">
        <v>851</v>
      </c>
    </row>
    <row r="991" customFormat="false" ht="11.25" hidden="false" customHeight="true" outlineLevel="0" collapsed="false">
      <c r="A991" s="55" t="s">
        <v>2243</v>
      </c>
      <c r="B991" s="55" t="s">
        <v>16</v>
      </c>
      <c r="C991" s="55" t="s">
        <v>4440</v>
      </c>
      <c r="D991" s="55" t="s">
        <v>4441</v>
      </c>
      <c r="E991" s="55" t="s">
        <v>4442</v>
      </c>
      <c r="F991" s="55" t="s">
        <v>2347</v>
      </c>
      <c r="I991" s="55" t="s">
        <v>851</v>
      </c>
    </row>
    <row r="992" customFormat="false" ht="11.25" hidden="false" customHeight="true" outlineLevel="0" collapsed="false">
      <c r="A992" s="55" t="s">
        <v>2243</v>
      </c>
      <c r="B992" s="55" t="s">
        <v>16</v>
      </c>
      <c r="C992" s="55" t="s">
        <v>4443</v>
      </c>
      <c r="D992" s="55" t="s">
        <v>4444</v>
      </c>
      <c r="E992" s="55" t="s">
        <v>4445</v>
      </c>
      <c r="F992" s="55" t="s">
        <v>2318</v>
      </c>
      <c r="I992" s="55" t="s">
        <v>851</v>
      </c>
    </row>
    <row r="993" customFormat="false" ht="11.25" hidden="false" customHeight="true" outlineLevel="0" collapsed="false">
      <c r="A993" s="55" t="s">
        <v>2243</v>
      </c>
      <c r="B993" s="55" t="s">
        <v>16</v>
      </c>
      <c r="C993" s="55" t="s">
        <v>3096</v>
      </c>
      <c r="D993" s="55" t="s">
        <v>3097</v>
      </c>
      <c r="E993" s="55" t="s">
        <v>3098</v>
      </c>
      <c r="F993" s="55" t="s">
        <v>2672</v>
      </c>
      <c r="I993" s="55" t="s">
        <v>851</v>
      </c>
    </row>
    <row r="994" customFormat="false" ht="11.25" hidden="false" customHeight="true" outlineLevel="0" collapsed="false">
      <c r="A994" s="55" t="s">
        <v>2243</v>
      </c>
      <c r="B994" s="55" t="s">
        <v>16</v>
      </c>
      <c r="C994" s="55" t="s">
        <v>3099</v>
      </c>
      <c r="D994" s="55" t="s">
        <v>3100</v>
      </c>
      <c r="E994" s="55" t="s">
        <v>3101</v>
      </c>
      <c r="F994" s="55" t="s">
        <v>2672</v>
      </c>
      <c r="I994" s="55" t="s">
        <v>851</v>
      </c>
    </row>
    <row r="995" customFormat="false" ht="11.25" hidden="false" customHeight="true" outlineLevel="0" collapsed="false">
      <c r="A995" s="55" t="s">
        <v>2243</v>
      </c>
      <c r="B995" s="55" t="s">
        <v>16</v>
      </c>
      <c r="C995" s="55" t="s">
        <v>3102</v>
      </c>
      <c r="D995" s="55" t="s">
        <v>3103</v>
      </c>
      <c r="E995" s="55" t="s">
        <v>3104</v>
      </c>
      <c r="F995" s="55" t="s">
        <v>2672</v>
      </c>
      <c r="I995" s="55" t="s">
        <v>851</v>
      </c>
    </row>
    <row r="996" customFormat="false" ht="11.25" hidden="false" customHeight="true" outlineLevel="0" collapsed="false">
      <c r="A996" s="55" t="s">
        <v>2243</v>
      </c>
      <c r="B996" s="55" t="s">
        <v>16</v>
      </c>
      <c r="C996" s="55" t="s">
        <v>3105</v>
      </c>
      <c r="D996" s="55" t="s">
        <v>3106</v>
      </c>
      <c r="E996" s="55" t="s">
        <v>3107</v>
      </c>
      <c r="F996" s="55" t="s">
        <v>2672</v>
      </c>
      <c r="G996" s="55" t="s">
        <v>3108</v>
      </c>
      <c r="I996" s="55" t="s">
        <v>851</v>
      </c>
    </row>
    <row r="997" customFormat="false" ht="11.25" hidden="false" customHeight="true" outlineLevel="0" collapsed="false">
      <c r="A997" s="55" t="s">
        <v>2243</v>
      </c>
      <c r="B997" s="55" t="s">
        <v>16</v>
      </c>
      <c r="C997" s="55" t="s">
        <v>3109</v>
      </c>
      <c r="D997" s="55" t="s">
        <v>3110</v>
      </c>
      <c r="E997" s="55" t="s">
        <v>3111</v>
      </c>
      <c r="F997" s="55" t="s">
        <v>2672</v>
      </c>
      <c r="G997" s="55" t="s">
        <v>3112</v>
      </c>
      <c r="I997" s="55" t="s">
        <v>851</v>
      </c>
    </row>
    <row r="998" customFormat="false" ht="11.25" hidden="false" customHeight="true" outlineLevel="0" collapsed="false">
      <c r="A998" s="55" t="s">
        <v>2243</v>
      </c>
      <c r="B998" s="55" t="s">
        <v>16</v>
      </c>
      <c r="C998" s="55" t="s">
        <v>4446</v>
      </c>
      <c r="D998" s="55" t="s">
        <v>4447</v>
      </c>
      <c r="E998" s="55" t="s">
        <v>4448</v>
      </c>
      <c r="F998" s="55" t="s">
        <v>2470</v>
      </c>
      <c r="G998" s="55" t="s">
        <v>4449</v>
      </c>
      <c r="I998" s="55" t="s">
        <v>851</v>
      </c>
    </row>
    <row r="999" customFormat="false" ht="11.25" hidden="false" customHeight="true" outlineLevel="0" collapsed="false">
      <c r="A999" s="55" t="s">
        <v>2243</v>
      </c>
      <c r="B999" s="55" t="s">
        <v>16</v>
      </c>
      <c r="C999" s="55" t="s">
        <v>3116</v>
      </c>
      <c r="D999" s="55" t="s">
        <v>3117</v>
      </c>
      <c r="E999" s="55" t="s">
        <v>3118</v>
      </c>
      <c r="F999" s="55" t="s">
        <v>2347</v>
      </c>
      <c r="G999" s="55" t="s">
        <v>3119</v>
      </c>
      <c r="I999" s="55" t="s">
        <v>851</v>
      </c>
    </row>
    <row r="1000" customFormat="false" ht="11.25" hidden="false" customHeight="true" outlineLevel="0" collapsed="false">
      <c r="A1000" s="55" t="s">
        <v>2243</v>
      </c>
      <c r="B1000" s="55" t="s">
        <v>16</v>
      </c>
      <c r="C1000" s="55" t="s">
        <v>4450</v>
      </c>
      <c r="D1000" s="55" t="s">
        <v>4451</v>
      </c>
      <c r="E1000" s="55" t="s">
        <v>4452</v>
      </c>
      <c r="F1000" s="55" t="s">
        <v>2347</v>
      </c>
      <c r="I1000" s="55" t="s">
        <v>851</v>
      </c>
    </row>
    <row r="1001" customFormat="false" ht="11.25" hidden="false" customHeight="true" outlineLevel="0" collapsed="false">
      <c r="A1001" s="55" t="s">
        <v>2243</v>
      </c>
      <c r="B1001" s="55" t="s">
        <v>16</v>
      </c>
      <c r="C1001" s="55" t="s">
        <v>3127</v>
      </c>
      <c r="D1001" s="55" t="s">
        <v>3128</v>
      </c>
      <c r="E1001" s="55" t="s">
        <v>3129</v>
      </c>
      <c r="F1001" s="55" t="s">
        <v>3130</v>
      </c>
      <c r="I1001" s="55" t="s">
        <v>851</v>
      </c>
    </row>
    <row r="1002" customFormat="false" ht="11.25" hidden="false" customHeight="true" outlineLevel="0" collapsed="false">
      <c r="A1002" s="55" t="s">
        <v>2243</v>
      </c>
      <c r="B1002" s="55" t="s">
        <v>16</v>
      </c>
      <c r="C1002" s="55" t="s">
        <v>4453</v>
      </c>
      <c r="D1002" s="55" t="s">
        <v>4454</v>
      </c>
      <c r="E1002" s="55" t="s">
        <v>4455</v>
      </c>
      <c r="F1002" s="55" t="s">
        <v>2387</v>
      </c>
      <c r="G1002" s="55" t="s">
        <v>4456</v>
      </c>
      <c r="I1002" s="55" t="s">
        <v>851</v>
      </c>
    </row>
    <row r="1003" customFormat="false" ht="11.25" hidden="false" customHeight="true" outlineLevel="0" collapsed="false">
      <c r="A1003" s="55" t="s">
        <v>2243</v>
      </c>
      <c r="B1003" s="55" t="s">
        <v>16</v>
      </c>
      <c r="C1003" s="55" t="s">
        <v>4457</v>
      </c>
      <c r="D1003" s="55" t="s">
        <v>4458</v>
      </c>
      <c r="E1003" s="55" t="s">
        <v>4459</v>
      </c>
      <c r="F1003" s="55" t="s">
        <v>2566</v>
      </c>
      <c r="I1003" s="55" t="s">
        <v>851</v>
      </c>
    </row>
    <row r="1004" customFormat="false" ht="11.25" hidden="false" customHeight="true" outlineLevel="0" collapsed="false">
      <c r="A1004" s="55" t="s">
        <v>2243</v>
      </c>
      <c r="B1004" s="55" t="s">
        <v>16</v>
      </c>
      <c r="C1004" s="55" t="s">
        <v>3141</v>
      </c>
      <c r="D1004" s="55" t="s">
        <v>3142</v>
      </c>
      <c r="E1004" s="55" t="s">
        <v>3143</v>
      </c>
      <c r="F1004" s="55" t="s">
        <v>3144</v>
      </c>
      <c r="I1004" s="55" t="s">
        <v>851</v>
      </c>
    </row>
    <row r="1005" customFormat="false" ht="11.25" hidden="false" customHeight="true" outlineLevel="0" collapsed="false">
      <c r="A1005" s="55" t="s">
        <v>2243</v>
      </c>
      <c r="B1005" s="55" t="s">
        <v>16</v>
      </c>
      <c r="C1005" s="55" t="s">
        <v>4460</v>
      </c>
      <c r="D1005" s="55" t="s">
        <v>4461</v>
      </c>
      <c r="E1005" s="55" t="s">
        <v>4462</v>
      </c>
      <c r="F1005" s="55" t="s">
        <v>2566</v>
      </c>
      <c r="G1005" s="55" t="s">
        <v>4463</v>
      </c>
      <c r="I1005" s="55" t="s">
        <v>851</v>
      </c>
    </row>
    <row r="1006" customFormat="false" ht="11.25" hidden="false" customHeight="true" outlineLevel="0" collapsed="false">
      <c r="A1006" s="55" t="s">
        <v>2243</v>
      </c>
      <c r="B1006" s="55" t="s">
        <v>16</v>
      </c>
      <c r="C1006" s="55" t="s">
        <v>3152</v>
      </c>
      <c r="D1006" s="55" t="s">
        <v>3153</v>
      </c>
      <c r="E1006" s="55" t="s">
        <v>3154</v>
      </c>
      <c r="F1006" s="55" t="s">
        <v>2309</v>
      </c>
      <c r="I1006" s="55" t="s">
        <v>851</v>
      </c>
    </row>
    <row r="1007" customFormat="false" ht="11.25" hidden="false" customHeight="true" outlineLevel="0" collapsed="false">
      <c r="A1007" s="55" t="s">
        <v>2243</v>
      </c>
      <c r="B1007" s="55" t="s">
        <v>16</v>
      </c>
      <c r="C1007" s="55" t="s">
        <v>3155</v>
      </c>
      <c r="D1007" s="55" t="s">
        <v>3156</v>
      </c>
      <c r="E1007" s="55" t="s">
        <v>3157</v>
      </c>
      <c r="F1007" s="55" t="s">
        <v>2309</v>
      </c>
      <c r="G1007" s="55" t="s">
        <v>3158</v>
      </c>
      <c r="I1007" s="55" t="s">
        <v>851</v>
      </c>
    </row>
    <row r="1008" customFormat="false" ht="11.25" hidden="false" customHeight="true" outlineLevel="0" collapsed="false">
      <c r="A1008" s="55" t="s">
        <v>2243</v>
      </c>
      <c r="B1008" s="55" t="s">
        <v>16</v>
      </c>
      <c r="C1008" s="55" t="s">
        <v>4464</v>
      </c>
      <c r="D1008" s="55" t="s">
        <v>4465</v>
      </c>
      <c r="E1008" s="55" t="s">
        <v>4466</v>
      </c>
      <c r="F1008" s="55" t="s">
        <v>2566</v>
      </c>
      <c r="G1008" s="55" t="s">
        <v>4467</v>
      </c>
      <c r="I1008" s="55" t="s">
        <v>851</v>
      </c>
    </row>
    <row r="1009" customFormat="false" ht="11.25" hidden="false" customHeight="true" outlineLevel="0" collapsed="false">
      <c r="A1009" s="55" t="s">
        <v>2243</v>
      </c>
      <c r="B1009" s="55" t="s">
        <v>16</v>
      </c>
      <c r="C1009" s="55" t="s">
        <v>4468</v>
      </c>
      <c r="D1009" s="55" t="s">
        <v>4469</v>
      </c>
      <c r="E1009" s="55" t="s">
        <v>4470</v>
      </c>
      <c r="F1009" s="55" t="s">
        <v>2333</v>
      </c>
      <c r="G1009" s="55" t="s">
        <v>4471</v>
      </c>
      <c r="I1009" s="55" t="s">
        <v>851</v>
      </c>
    </row>
    <row r="1010" customFormat="false" ht="11.25" hidden="false" customHeight="true" outlineLevel="0" collapsed="false">
      <c r="A1010" s="55" t="s">
        <v>2243</v>
      </c>
      <c r="B1010" s="55" t="s">
        <v>16</v>
      </c>
      <c r="C1010" s="55" t="s">
        <v>4472</v>
      </c>
      <c r="D1010" s="55" t="s">
        <v>4473</v>
      </c>
      <c r="E1010" s="55" t="s">
        <v>4474</v>
      </c>
      <c r="F1010" s="55" t="s">
        <v>2274</v>
      </c>
      <c r="I1010" s="55" t="s">
        <v>851</v>
      </c>
    </row>
    <row r="1011" customFormat="false" ht="11.25" hidden="false" customHeight="true" outlineLevel="0" collapsed="false">
      <c r="A1011" s="55" t="s">
        <v>2243</v>
      </c>
      <c r="B1011" s="55" t="s">
        <v>16</v>
      </c>
      <c r="C1011" s="55" t="s">
        <v>3163</v>
      </c>
      <c r="D1011" s="55" t="s">
        <v>3164</v>
      </c>
      <c r="E1011" s="55" t="s">
        <v>3165</v>
      </c>
      <c r="F1011" s="55" t="s">
        <v>2274</v>
      </c>
      <c r="I1011" s="55" t="s">
        <v>851</v>
      </c>
    </row>
    <row r="1012" customFormat="false" ht="11.25" hidden="false" customHeight="true" outlineLevel="0" collapsed="false">
      <c r="A1012" s="55" t="s">
        <v>2243</v>
      </c>
      <c r="B1012" s="55" t="s">
        <v>16</v>
      </c>
      <c r="C1012" s="55" t="s">
        <v>3166</v>
      </c>
      <c r="D1012" s="55" t="s">
        <v>3167</v>
      </c>
      <c r="E1012" s="55" t="s">
        <v>3168</v>
      </c>
      <c r="F1012" s="55" t="s">
        <v>2247</v>
      </c>
      <c r="G1012" s="55" t="s">
        <v>3169</v>
      </c>
      <c r="I1012" s="55" t="s">
        <v>851</v>
      </c>
    </row>
    <row r="1013" customFormat="false" ht="11.25" hidden="false" customHeight="true" outlineLevel="0" collapsed="false">
      <c r="A1013" s="55" t="s">
        <v>2243</v>
      </c>
      <c r="B1013" s="55" t="s">
        <v>16</v>
      </c>
      <c r="C1013" s="55" t="s">
        <v>3170</v>
      </c>
      <c r="D1013" s="55" t="s">
        <v>3171</v>
      </c>
      <c r="E1013" s="55" t="s">
        <v>3172</v>
      </c>
      <c r="F1013" s="55" t="s">
        <v>2283</v>
      </c>
      <c r="G1013" s="55" t="s">
        <v>3173</v>
      </c>
      <c r="I1013" s="55" t="s">
        <v>851</v>
      </c>
    </row>
    <row r="1014" customFormat="false" ht="11.25" hidden="false" customHeight="true" outlineLevel="0" collapsed="false">
      <c r="A1014" s="55" t="s">
        <v>2243</v>
      </c>
      <c r="B1014" s="55" t="s">
        <v>16</v>
      </c>
      <c r="C1014" s="55" t="s">
        <v>3174</v>
      </c>
      <c r="D1014" s="55" t="s">
        <v>3175</v>
      </c>
      <c r="E1014" s="55" t="s">
        <v>3176</v>
      </c>
      <c r="F1014" s="55" t="s">
        <v>2247</v>
      </c>
      <c r="G1014" s="55" t="s">
        <v>3177</v>
      </c>
      <c r="I1014" s="55" t="s">
        <v>851</v>
      </c>
    </row>
    <row r="1015" customFormat="false" ht="11.25" hidden="false" customHeight="true" outlineLevel="0" collapsed="false">
      <c r="A1015" s="55" t="s">
        <v>2243</v>
      </c>
      <c r="B1015" s="55" t="s">
        <v>16</v>
      </c>
      <c r="C1015" s="55" t="s">
        <v>3181</v>
      </c>
      <c r="D1015" s="55" t="s">
        <v>3182</v>
      </c>
      <c r="E1015" s="55" t="s">
        <v>3183</v>
      </c>
      <c r="F1015" s="55" t="s">
        <v>2274</v>
      </c>
      <c r="G1015" s="55" t="s">
        <v>3184</v>
      </c>
      <c r="I1015" s="55" t="s">
        <v>851</v>
      </c>
    </row>
    <row r="1016" customFormat="false" ht="11.25" hidden="false" customHeight="true" outlineLevel="0" collapsed="false">
      <c r="A1016" s="55" t="s">
        <v>2243</v>
      </c>
      <c r="B1016" s="55" t="s">
        <v>16</v>
      </c>
      <c r="C1016" s="55" t="s">
        <v>4475</v>
      </c>
      <c r="D1016" s="55" t="s">
        <v>4476</v>
      </c>
      <c r="E1016" s="55" t="s">
        <v>4477</v>
      </c>
      <c r="F1016" s="55" t="s">
        <v>3986</v>
      </c>
      <c r="I1016" s="55" t="s">
        <v>851</v>
      </c>
    </row>
    <row r="1017" customFormat="false" ht="11.25" hidden="false" customHeight="true" outlineLevel="0" collapsed="false">
      <c r="A1017" s="55" t="s">
        <v>2243</v>
      </c>
      <c r="B1017" s="55" t="s">
        <v>16</v>
      </c>
      <c r="C1017" s="55" t="s">
        <v>3188</v>
      </c>
      <c r="D1017" s="55" t="s">
        <v>3189</v>
      </c>
      <c r="E1017" s="55" t="s">
        <v>3190</v>
      </c>
      <c r="F1017" s="55" t="s">
        <v>2566</v>
      </c>
      <c r="G1017" s="55" t="s">
        <v>3191</v>
      </c>
      <c r="I1017" s="55" t="s">
        <v>851</v>
      </c>
    </row>
    <row r="1018" customFormat="false" ht="11.25" hidden="false" customHeight="true" outlineLevel="0" collapsed="false">
      <c r="A1018" s="55" t="s">
        <v>2243</v>
      </c>
      <c r="B1018" s="55" t="s">
        <v>16</v>
      </c>
      <c r="C1018" s="55" t="s">
        <v>3192</v>
      </c>
      <c r="D1018" s="55" t="s">
        <v>3193</v>
      </c>
      <c r="E1018" s="55" t="s">
        <v>3194</v>
      </c>
      <c r="F1018" s="55" t="s">
        <v>2566</v>
      </c>
      <c r="G1018" s="55" t="s">
        <v>3195</v>
      </c>
      <c r="I1018" s="55" t="s">
        <v>851</v>
      </c>
    </row>
    <row r="1019" customFormat="false" ht="11.25" hidden="false" customHeight="true" outlineLevel="0" collapsed="false">
      <c r="A1019" s="55" t="s">
        <v>2243</v>
      </c>
      <c r="B1019" s="55" t="s">
        <v>16</v>
      </c>
      <c r="C1019" s="55" t="s">
        <v>3196</v>
      </c>
      <c r="D1019" s="55" t="s">
        <v>3197</v>
      </c>
      <c r="E1019" s="55" t="s">
        <v>3198</v>
      </c>
      <c r="F1019" s="55" t="s">
        <v>2247</v>
      </c>
      <c r="G1019" s="55" t="s">
        <v>3199</v>
      </c>
      <c r="I1019" s="55" t="s">
        <v>851</v>
      </c>
    </row>
    <row r="1020" customFormat="false" ht="11.25" hidden="false" customHeight="true" outlineLevel="0" collapsed="false">
      <c r="A1020" s="55" t="s">
        <v>2243</v>
      </c>
      <c r="B1020" s="55" t="s">
        <v>16</v>
      </c>
      <c r="C1020" s="55" t="s">
        <v>3200</v>
      </c>
      <c r="D1020" s="55" t="s">
        <v>3201</v>
      </c>
      <c r="E1020" s="55" t="s">
        <v>3202</v>
      </c>
      <c r="F1020" s="55" t="s">
        <v>2338</v>
      </c>
      <c r="G1020" s="55" t="s">
        <v>3203</v>
      </c>
      <c r="I1020" s="55" t="s">
        <v>851</v>
      </c>
    </row>
    <row r="1021" customFormat="false" ht="11.25" hidden="false" customHeight="true" outlineLevel="0" collapsed="false">
      <c r="A1021" s="55" t="s">
        <v>2243</v>
      </c>
      <c r="B1021" s="55" t="s">
        <v>16</v>
      </c>
      <c r="C1021" s="55" t="s">
        <v>3204</v>
      </c>
      <c r="D1021" s="55" t="s">
        <v>3205</v>
      </c>
      <c r="E1021" s="55" t="s">
        <v>3206</v>
      </c>
      <c r="F1021" s="55" t="s">
        <v>2566</v>
      </c>
      <c r="G1021" s="55" t="s">
        <v>3207</v>
      </c>
      <c r="I1021" s="55" t="s">
        <v>851</v>
      </c>
    </row>
    <row r="1022" customFormat="false" ht="11.25" hidden="false" customHeight="true" outlineLevel="0" collapsed="false">
      <c r="A1022" s="55" t="s">
        <v>2243</v>
      </c>
      <c r="B1022" s="55" t="s">
        <v>16</v>
      </c>
      <c r="C1022" s="55" t="s">
        <v>3208</v>
      </c>
      <c r="D1022" s="55" t="s">
        <v>3209</v>
      </c>
      <c r="E1022" s="55" t="s">
        <v>3210</v>
      </c>
      <c r="F1022" s="55" t="s">
        <v>2247</v>
      </c>
      <c r="G1022" s="55" t="s">
        <v>3211</v>
      </c>
      <c r="I1022" s="55" t="s">
        <v>851</v>
      </c>
    </row>
    <row r="1023" customFormat="false" ht="11.25" hidden="false" customHeight="true" outlineLevel="0" collapsed="false">
      <c r="A1023" s="55" t="s">
        <v>2243</v>
      </c>
      <c r="B1023" s="55" t="s">
        <v>16</v>
      </c>
      <c r="C1023" s="55" t="s">
        <v>3212</v>
      </c>
      <c r="D1023" s="55" t="s">
        <v>3213</v>
      </c>
      <c r="E1023" s="55" t="s">
        <v>3214</v>
      </c>
      <c r="F1023" s="55" t="s">
        <v>2890</v>
      </c>
      <c r="I1023" s="55" t="s">
        <v>851</v>
      </c>
    </row>
    <row r="1024" customFormat="false" ht="11.25" hidden="false" customHeight="true" outlineLevel="0" collapsed="false">
      <c r="A1024" s="55" t="s">
        <v>2243</v>
      </c>
      <c r="B1024" s="55" t="s">
        <v>16</v>
      </c>
      <c r="C1024" s="55" t="s">
        <v>3215</v>
      </c>
      <c r="D1024" s="55" t="s">
        <v>3216</v>
      </c>
      <c r="E1024" s="55" t="s">
        <v>3217</v>
      </c>
      <c r="F1024" s="55" t="s">
        <v>3130</v>
      </c>
      <c r="G1024" s="55" t="s">
        <v>3218</v>
      </c>
      <c r="I1024" s="55" t="s">
        <v>851</v>
      </c>
    </row>
    <row r="1025" customFormat="false" ht="11.25" hidden="false" customHeight="true" outlineLevel="0" collapsed="false">
      <c r="A1025" s="55" t="s">
        <v>2243</v>
      </c>
      <c r="B1025" s="55" t="s">
        <v>16</v>
      </c>
      <c r="C1025" s="55" t="s">
        <v>3219</v>
      </c>
      <c r="D1025" s="55" t="s">
        <v>3220</v>
      </c>
      <c r="E1025" s="55" t="s">
        <v>3221</v>
      </c>
      <c r="F1025" s="55" t="s">
        <v>2283</v>
      </c>
      <c r="I1025" s="55" t="s">
        <v>851</v>
      </c>
    </row>
    <row r="1026" customFormat="false" ht="11.25" hidden="false" customHeight="true" outlineLevel="0" collapsed="false">
      <c r="A1026" s="55" t="s">
        <v>2243</v>
      </c>
      <c r="B1026" s="55" t="s">
        <v>16</v>
      </c>
      <c r="C1026" s="55" t="s">
        <v>3225</v>
      </c>
      <c r="D1026" s="55" t="s">
        <v>3226</v>
      </c>
      <c r="E1026" s="55" t="s">
        <v>3227</v>
      </c>
      <c r="F1026" s="55" t="s">
        <v>2672</v>
      </c>
      <c r="G1026" s="55" t="s">
        <v>3228</v>
      </c>
      <c r="I1026" s="55" t="s">
        <v>851</v>
      </c>
    </row>
    <row r="1027" customFormat="false" ht="11.25" hidden="false" customHeight="true" outlineLevel="0" collapsed="false">
      <c r="A1027" s="55" t="s">
        <v>2243</v>
      </c>
      <c r="B1027" s="55" t="s">
        <v>16</v>
      </c>
      <c r="C1027" s="55" t="s">
        <v>3229</v>
      </c>
      <c r="D1027" s="55" t="s">
        <v>3230</v>
      </c>
      <c r="E1027" s="55" t="s">
        <v>3231</v>
      </c>
      <c r="F1027" s="55" t="s">
        <v>2283</v>
      </c>
      <c r="I1027" s="55" t="s">
        <v>851</v>
      </c>
    </row>
    <row r="1028" customFormat="false" ht="11.25" hidden="false" customHeight="true" outlineLevel="0" collapsed="false">
      <c r="A1028" s="55" t="s">
        <v>2243</v>
      </c>
      <c r="B1028" s="55" t="s">
        <v>16</v>
      </c>
      <c r="C1028" s="55" t="s">
        <v>3232</v>
      </c>
      <c r="D1028" s="55" t="s">
        <v>3233</v>
      </c>
      <c r="E1028" s="55" t="s">
        <v>3234</v>
      </c>
      <c r="F1028" s="55" t="s">
        <v>3235</v>
      </c>
      <c r="I1028" s="55" t="s">
        <v>851</v>
      </c>
    </row>
    <row r="1029" customFormat="false" ht="11.25" hidden="false" customHeight="true" outlineLevel="0" collapsed="false">
      <c r="A1029" s="55" t="s">
        <v>2243</v>
      </c>
      <c r="B1029" s="55" t="s">
        <v>16</v>
      </c>
      <c r="C1029" s="55" t="s">
        <v>4478</v>
      </c>
      <c r="D1029" s="55" t="s">
        <v>4479</v>
      </c>
      <c r="E1029" s="55" t="s">
        <v>4480</v>
      </c>
      <c r="F1029" s="55" t="s">
        <v>2247</v>
      </c>
      <c r="I1029" s="55" t="s">
        <v>851</v>
      </c>
    </row>
    <row r="1030" customFormat="false" ht="11.25" hidden="false" customHeight="true" outlineLevel="0" collapsed="false">
      <c r="A1030" s="55" t="s">
        <v>2243</v>
      </c>
      <c r="B1030" s="55" t="s">
        <v>16</v>
      </c>
      <c r="C1030" s="55" t="s">
        <v>3236</v>
      </c>
      <c r="D1030" s="55" t="s">
        <v>3237</v>
      </c>
      <c r="E1030" s="55" t="s">
        <v>3238</v>
      </c>
      <c r="F1030" s="55" t="s">
        <v>2387</v>
      </c>
      <c r="I1030" s="55" t="s">
        <v>851</v>
      </c>
    </row>
    <row r="1031" customFormat="false" ht="11.25" hidden="false" customHeight="true" outlineLevel="0" collapsed="false">
      <c r="A1031" s="55" t="s">
        <v>2243</v>
      </c>
      <c r="B1031" s="55" t="s">
        <v>16</v>
      </c>
      <c r="C1031" s="55" t="s">
        <v>3258</v>
      </c>
      <c r="D1031" s="55" t="s">
        <v>3259</v>
      </c>
      <c r="E1031" s="55" t="s">
        <v>3260</v>
      </c>
      <c r="F1031" s="55" t="s">
        <v>2329</v>
      </c>
      <c r="I1031" s="55" t="s">
        <v>851</v>
      </c>
    </row>
    <row r="1032" customFormat="false" ht="11.25" hidden="false" customHeight="true" outlineLevel="0" collapsed="false">
      <c r="A1032" s="55" t="s">
        <v>2243</v>
      </c>
      <c r="B1032" s="55" t="s">
        <v>16</v>
      </c>
      <c r="C1032" s="55" t="s">
        <v>3268</v>
      </c>
      <c r="D1032" s="55" t="s">
        <v>3269</v>
      </c>
      <c r="E1032" s="55" t="s">
        <v>3270</v>
      </c>
      <c r="F1032" s="55" t="s">
        <v>2283</v>
      </c>
      <c r="I1032" s="55" t="s">
        <v>851</v>
      </c>
    </row>
    <row r="1033" customFormat="false" ht="11.25" hidden="false" customHeight="true" outlineLevel="0" collapsed="false">
      <c r="A1033" s="55" t="s">
        <v>2243</v>
      </c>
      <c r="B1033" s="55" t="s">
        <v>16</v>
      </c>
      <c r="C1033" s="55" t="s">
        <v>4481</v>
      </c>
      <c r="D1033" s="55" t="s">
        <v>4482</v>
      </c>
      <c r="E1033" s="55" t="s">
        <v>4483</v>
      </c>
      <c r="F1033" s="55" t="s">
        <v>2347</v>
      </c>
      <c r="I1033" s="55" t="s">
        <v>851</v>
      </c>
    </row>
    <row r="1034" customFormat="false" ht="11.25" hidden="false" customHeight="true" outlineLevel="0" collapsed="false">
      <c r="A1034" s="55" t="s">
        <v>2243</v>
      </c>
      <c r="B1034" s="55" t="s">
        <v>16</v>
      </c>
      <c r="C1034" s="55" t="s">
        <v>4275</v>
      </c>
      <c r="D1034" s="55" t="s">
        <v>4276</v>
      </c>
      <c r="E1034" s="55" t="s">
        <v>4277</v>
      </c>
      <c r="F1034" s="55" t="s">
        <v>2371</v>
      </c>
      <c r="I1034" s="55" t="s">
        <v>851</v>
      </c>
    </row>
    <row r="1035" customFormat="false" ht="11.25" hidden="false" customHeight="true" outlineLevel="0" collapsed="false">
      <c r="A1035" s="55" t="s">
        <v>2243</v>
      </c>
      <c r="B1035" s="55" t="s">
        <v>16</v>
      </c>
      <c r="C1035" s="55" t="s">
        <v>3280</v>
      </c>
      <c r="D1035" s="55" t="s">
        <v>3281</v>
      </c>
      <c r="E1035" s="55" t="s">
        <v>3282</v>
      </c>
      <c r="F1035" s="55" t="s">
        <v>2247</v>
      </c>
      <c r="I1035" s="55" t="s">
        <v>851</v>
      </c>
    </row>
    <row r="1036" customFormat="false" ht="11.25" hidden="false" customHeight="true" outlineLevel="0" collapsed="false">
      <c r="A1036" s="55" t="s">
        <v>2243</v>
      </c>
      <c r="B1036" s="55" t="s">
        <v>16</v>
      </c>
      <c r="C1036" s="55" t="s">
        <v>3301</v>
      </c>
      <c r="D1036" s="55" t="s">
        <v>3302</v>
      </c>
      <c r="E1036" s="55" t="s">
        <v>3303</v>
      </c>
      <c r="F1036" s="55" t="s">
        <v>3304</v>
      </c>
      <c r="I1036" s="55" t="s">
        <v>851</v>
      </c>
    </row>
    <row r="1037" customFormat="false" ht="11.25" hidden="false" customHeight="true" outlineLevel="0" collapsed="false">
      <c r="A1037" s="55" t="s">
        <v>2243</v>
      </c>
      <c r="B1037" s="55" t="s">
        <v>16</v>
      </c>
      <c r="C1037" s="55" t="s">
        <v>3305</v>
      </c>
      <c r="D1037" s="55" t="s">
        <v>3306</v>
      </c>
      <c r="E1037" s="55" t="s">
        <v>3307</v>
      </c>
      <c r="F1037" s="55" t="s">
        <v>3308</v>
      </c>
      <c r="I1037" s="55" t="s">
        <v>851</v>
      </c>
    </row>
    <row r="1038" customFormat="false" ht="11.25" hidden="false" customHeight="true" outlineLevel="0" collapsed="false">
      <c r="A1038" s="55" t="s">
        <v>2243</v>
      </c>
      <c r="B1038" s="55" t="s">
        <v>16</v>
      </c>
      <c r="C1038" s="55" t="s">
        <v>3312</v>
      </c>
      <c r="D1038" s="55" t="s">
        <v>3313</v>
      </c>
      <c r="E1038" s="55" t="s">
        <v>3314</v>
      </c>
      <c r="F1038" s="55" t="s">
        <v>3315</v>
      </c>
      <c r="I1038" s="55" t="s">
        <v>851</v>
      </c>
    </row>
    <row r="1039" customFormat="false" ht="11.25" hidden="false" customHeight="true" outlineLevel="0" collapsed="false">
      <c r="A1039" s="55" t="s">
        <v>2243</v>
      </c>
      <c r="B1039" s="55" t="s">
        <v>16</v>
      </c>
      <c r="C1039" s="55" t="s">
        <v>4484</v>
      </c>
      <c r="D1039" s="55" t="s">
        <v>4485</v>
      </c>
      <c r="E1039" s="55" t="s">
        <v>4486</v>
      </c>
      <c r="F1039" s="55" t="s">
        <v>2672</v>
      </c>
      <c r="I1039" s="55" t="s">
        <v>851</v>
      </c>
    </row>
    <row r="1040" customFormat="false" ht="11.25" hidden="false" customHeight="true" outlineLevel="0" collapsed="false">
      <c r="A1040" s="55" t="s">
        <v>2243</v>
      </c>
      <c r="B1040" s="55" t="s">
        <v>16</v>
      </c>
      <c r="C1040" s="55" t="s">
        <v>4487</v>
      </c>
      <c r="D1040" s="55" t="s">
        <v>4488</v>
      </c>
      <c r="E1040" s="55" t="s">
        <v>4489</v>
      </c>
      <c r="F1040" s="55" t="s">
        <v>2309</v>
      </c>
      <c r="I1040" s="55" t="s">
        <v>851</v>
      </c>
    </row>
    <row r="1041" customFormat="false" ht="11.25" hidden="false" customHeight="true" outlineLevel="0" collapsed="false">
      <c r="A1041" s="55" t="s">
        <v>2243</v>
      </c>
      <c r="B1041" s="55" t="s">
        <v>16</v>
      </c>
      <c r="C1041" s="55" t="s">
        <v>3319</v>
      </c>
      <c r="D1041" s="55" t="s">
        <v>3320</v>
      </c>
      <c r="E1041" s="55" t="s">
        <v>3321</v>
      </c>
      <c r="F1041" s="55" t="s">
        <v>2470</v>
      </c>
      <c r="I1041" s="55" t="s">
        <v>851</v>
      </c>
    </row>
    <row r="1042" customFormat="false" ht="11.25" hidden="false" customHeight="true" outlineLevel="0" collapsed="false">
      <c r="A1042" s="55" t="s">
        <v>2243</v>
      </c>
      <c r="B1042" s="55" t="s">
        <v>16</v>
      </c>
      <c r="C1042" s="55" t="s">
        <v>4490</v>
      </c>
      <c r="D1042" s="55" t="s">
        <v>4491</v>
      </c>
      <c r="E1042" s="55" t="s">
        <v>4492</v>
      </c>
      <c r="F1042" s="55" t="s">
        <v>4493</v>
      </c>
      <c r="I1042" s="55" t="s">
        <v>851</v>
      </c>
    </row>
    <row r="1043" customFormat="false" ht="11.25" hidden="false" customHeight="true" outlineLevel="0" collapsed="false">
      <c r="A1043" s="55" t="s">
        <v>2243</v>
      </c>
      <c r="B1043" s="55" t="s">
        <v>16</v>
      </c>
      <c r="C1043" s="55" t="s">
        <v>3337</v>
      </c>
      <c r="D1043" s="55" t="s">
        <v>3338</v>
      </c>
      <c r="E1043" s="55" t="s">
        <v>3339</v>
      </c>
      <c r="F1043" s="55" t="s">
        <v>2566</v>
      </c>
      <c r="I1043" s="55" t="s">
        <v>851</v>
      </c>
    </row>
    <row r="1044" customFormat="false" ht="11.25" hidden="false" customHeight="true" outlineLevel="0" collapsed="false">
      <c r="A1044" s="55" t="s">
        <v>2243</v>
      </c>
      <c r="B1044" s="55" t="s">
        <v>16</v>
      </c>
      <c r="C1044" s="55" t="s">
        <v>4494</v>
      </c>
      <c r="D1044" s="55" t="s">
        <v>4495</v>
      </c>
      <c r="E1044" s="55" t="s">
        <v>4496</v>
      </c>
      <c r="F1044" s="55" t="s">
        <v>2247</v>
      </c>
      <c r="I1044" s="55" t="s">
        <v>851</v>
      </c>
    </row>
    <row r="1045" customFormat="false" ht="11.25" hidden="false" customHeight="true" outlineLevel="0" collapsed="false">
      <c r="A1045" s="55" t="s">
        <v>2243</v>
      </c>
      <c r="B1045" s="55" t="s">
        <v>16</v>
      </c>
      <c r="C1045" s="55" t="s">
        <v>4497</v>
      </c>
      <c r="D1045" s="55" t="s">
        <v>4498</v>
      </c>
      <c r="E1045" s="55" t="s">
        <v>4499</v>
      </c>
      <c r="F1045" s="55" t="s">
        <v>2247</v>
      </c>
      <c r="I1045" s="55" t="s">
        <v>851</v>
      </c>
    </row>
    <row r="1046" customFormat="false" ht="11.25" hidden="false" customHeight="true" outlineLevel="0" collapsed="false">
      <c r="A1046" s="55" t="s">
        <v>2243</v>
      </c>
      <c r="B1046" s="55" t="s">
        <v>16</v>
      </c>
      <c r="C1046" s="55" t="s">
        <v>3371</v>
      </c>
      <c r="D1046" s="55" t="s">
        <v>3372</v>
      </c>
      <c r="E1046" s="55" t="s">
        <v>3373</v>
      </c>
      <c r="F1046" s="55" t="s">
        <v>2314</v>
      </c>
      <c r="I1046" s="55" t="s">
        <v>851</v>
      </c>
    </row>
    <row r="1047" customFormat="false" ht="11.25" hidden="false" customHeight="true" outlineLevel="0" collapsed="false">
      <c r="A1047" s="55" t="s">
        <v>2243</v>
      </c>
      <c r="B1047" s="55" t="s">
        <v>16</v>
      </c>
      <c r="C1047" s="55" t="s">
        <v>3380</v>
      </c>
      <c r="D1047" s="55" t="s">
        <v>3381</v>
      </c>
      <c r="E1047" s="55" t="s">
        <v>3382</v>
      </c>
      <c r="F1047" s="55" t="s">
        <v>2558</v>
      </c>
      <c r="I1047" s="55" t="s">
        <v>851</v>
      </c>
    </row>
    <row r="1048" customFormat="false" ht="11.25" hidden="false" customHeight="true" outlineLevel="0" collapsed="false">
      <c r="A1048" s="55" t="s">
        <v>2243</v>
      </c>
      <c r="B1048" s="55" t="s">
        <v>16</v>
      </c>
      <c r="C1048" s="55" t="s">
        <v>3383</v>
      </c>
      <c r="D1048" s="55" t="s">
        <v>3384</v>
      </c>
      <c r="E1048" s="55" t="s">
        <v>3385</v>
      </c>
      <c r="F1048" s="55" t="s">
        <v>2283</v>
      </c>
      <c r="I1048" s="55" t="s">
        <v>851</v>
      </c>
    </row>
    <row r="1049" customFormat="false" ht="11.25" hidden="false" customHeight="true" outlineLevel="0" collapsed="false">
      <c r="A1049" s="55" t="s">
        <v>2243</v>
      </c>
      <c r="B1049" s="55" t="s">
        <v>16</v>
      </c>
      <c r="C1049" s="55" t="s">
        <v>4500</v>
      </c>
      <c r="D1049" s="55" t="s">
        <v>4501</v>
      </c>
      <c r="E1049" s="55" t="s">
        <v>4502</v>
      </c>
      <c r="F1049" s="55" t="s">
        <v>2247</v>
      </c>
      <c r="I1049" s="55" t="s">
        <v>851</v>
      </c>
    </row>
    <row r="1050" customFormat="false" ht="11.25" hidden="false" customHeight="true" outlineLevel="0" collapsed="false">
      <c r="A1050" s="55" t="s">
        <v>2243</v>
      </c>
      <c r="B1050" s="55" t="s">
        <v>16</v>
      </c>
      <c r="C1050" s="55" t="s">
        <v>3398</v>
      </c>
      <c r="D1050" s="55" t="s">
        <v>3399</v>
      </c>
      <c r="E1050" s="55" t="s">
        <v>3400</v>
      </c>
      <c r="F1050" s="55" t="s">
        <v>2318</v>
      </c>
      <c r="I1050" s="55" t="s">
        <v>851</v>
      </c>
    </row>
    <row r="1051" customFormat="false" ht="11.25" hidden="false" customHeight="true" outlineLevel="0" collapsed="false">
      <c r="A1051" s="55" t="s">
        <v>2243</v>
      </c>
      <c r="B1051" s="55" t="s">
        <v>16</v>
      </c>
      <c r="C1051" s="55" t="s">
        <v>4503</v>
      </c>
      <c r="D1051" s="55" t="s">
        <v>4504</v>
      </c>
      <c r="E1051" s="55" t="s">
        <v>4505</v>
      </c>
      <c r="F1051" s="55" t="s">
        <v>2318</v>
      </c>
      <c r="I1051" s="55" t="s">
        <v>851</v>
      </c>
    </row>
    <row r="1052" customFormat="false" ht="11.25" hidden="false" customHeight="true" outlineLevel="0" collapsed="false">
      <c r="A1052" s="55" t="s">
        <v>2243</v>
      </c>
      <c r="B1052" s="55" t="s">
        <v>16</v>
      </c>
      <c r="C1052" s="55" t="s">
        <v>3428</v>
      </c>
      <c r="D1052" s="55" t="s">
        <v>3429</v>
      </c>
      <c r="E1052" s="55" t="s">
        <v>3430</v>
      </c>
      <c r="F1052" s="55" t="s">
        <v>2247</v>
      </c>
      <c r="I1052" s="55" t="s">
        <v>851</v>
      </c>
    </row>
    <row r="1053" customFormat="false" ht="11.25" hidden="false" customHeight="true" outlineLevel="0" collapsed="false">
      <c r="A1053" s="55" t="s">
        <v>2243</v>
      </c>
      <c r="B1053" s="55" t="s">
        <v>16</v>
      </c>
      <c r="C1053" s="55" t="s">
        <v>4506</v>
      </c>
      <c r="D1053" s="55" t="s">
        <v>4507</v>
      </c>
      <c r="E1053" s="55" t="s">
        <v>4508</v>
      </c>
      <c r="F1053" s="55" t="s">
        <v>2318</v>
      </c>
      <c r="I1053" s="55" t="s">
        <v>851</v>
      </c>
    </row>
    <row r="1054" customFormat="false" ht="11.25" hidden="false" customHeight="true" outlineLevel="0" collapsed="false">
      <c r="A1054" s="55" t="s">
        <v>2243</v>
      </c>
      <c r="B1054" s="55" t="s">
        <v>16</v>
      </c>
      <c r="C1054" s="55" t="s">
        <v>3457</v>
      </c>
      <c r="D1054" s="55" t="s">
        <v>3458</v>
      </c>
      <c r="E1054" s="55" t="s">
        <v>3459</v>
      </c>
      <c r="F1054" s="55" t="s">
        <v>2291</v>
      </c>
      <c r="I1054" s="55" t="s">
        <v>851</v>
      </c>
    </row>
    <row r="1055" customFormat="false" ht="11.25" hidden="false" customHeight="true" outlineLevel="0" collapsed="false">
      <c r="A1055" s="55" t="s">
        <v>2243</v>
      </c>
      <c r="B1055" s="55" t="s">
        <v>16</v>
      </c>
      <c r="C1055" s="55" t="s">
        <v>3484</v>
      </c>
      <c r="D1055" s="55" t="s">
        <v>3485</v>
      </c>
      <c r="E1055" s="55" t="s">
        <v>2255</v>
      </c>
      <c r="F1055" s="55" t="s">
        <v>2449</v>
      </c>
      <c r="I1055" s="55" t="s">
        <v>851</v>
      </c>
    </row>
    <row r="1056" customFormat="false" ht="11.25" hidden="false" customHeight="true" outlineLevel="0" collapsed="false">
      <c r="A1056" s="55" t="s">
        <v>2243</v>
      </c>
      <c r="B1056" s="55" t="s">
        <v>16</v>
      </c>
      <c r="C1056" s="55" t="s">
        <v>3486</v>
      </c>
      <c r="D1056" s="55" t="s">
        <v>3487</v>
      </c>
      <c r="E1056" s="55" t="s">
        <v>2297</v>
      </c>
      <c r="F1056" s="55" t="s">
        <v>3488</v>
      </c>
      <c r="G1056" s="55" t="s">
        <v>2302</v>
      </c>
      <c r="I1056" s="55" t="s">
        <v>851</v>
      </c>
    </row>
    <row r="1057" customFormat="false" ht="11.25" hidden="false" customHeight="true" outlineLevel="0" collapsed="false">
      <c r="A1057" s="55" t="s">
        <v>2243</v>
      </c>
      <c r="B1057" s="55" t="s">
        <v>16</v>
      </c>
      <c r="C1057" s="55" t="s">
        <v>4509</v>
      </c>
      <c r="D1057" s="55" t="s">
        <v>4510</v>
      </c>
      <c r="E1057" s="55" t="s">
        <v>4511</v>
      </c>
      <c r="F1057" s="55" t="s">
        <v>3802</v>
      </c>
      <c r="I1057" s="55" t="s">
        <v>851</v>
      </c>
    </row>
    <row r="1058" customFormat="false" ht="11.25" hidden="false" customHeight="true" outlineLevel="0" collapsed="false">
      <c r="A1058" s="55" t="s">
        <v>2243</v>
      </c>
      <c r="B1058" s="55" t="s">
        <v>16</v>
      </c>
      <c r="C1058" s="55" t="s">
        <v>3489</v>
      </c>
      <c r="D1058" s="55" t="s">
        <v>3490</v>
      </c>
      <c r="E1058" s="55" t="s">
        <v>3491</v>
      </c>
      <c r="F1058" s="55" t="s">
        <v>2566</v>
      </c>
      <c r="I1058" s="55" t="s">
        <v>851</v>
      </c>
    </row>
    <row r="1059" customFormat="false" ht="11.25" hidden="false" customHeight="true" outlineLevel="0" collapsed="false">
      <c r="A1059" s="55" t="s">
        <v>2243</v>
      </c>
      <c r="B1059" s="55" t="s">
        <v>16</v>
      </c>
      <c r="C1059" s="55" t="s">
        <v>4512</v>
      </c>
      <c r="D1059" s="55" t="s">
        <v>4513</v>
      </c>
      <c r="E1059" s="55" t="s">
        <v>4514</v>
      </c>
      <c r="F1059" s="55" t="s">
        <v>2318</v>
      </c>
      <c r="I1059" s="55" t="s">
        <v>851</v>
      </c>
    </row>
    <row r="1060" customFormat="false" ht="11.25" hidden="false" customHeight="true" outlineLevel="0" collapsed="false">
      <c r="A1060" s="55" t="s">
        <v>2243</v>
      </c>
      <c r="B1060" s="55" t="s">
        <v>16</v>
      </c>
      <c r="C1060" s="55" t="s">
        <v>4515</v>
      </c>
      <c r="D1060" s="55" t="s">
        <v>4516</v>
      </c>
      <c r="E1060" s="55" t="s">
        <v>4517</v>
      </c>
      <c r="F1060" s="55" t="s">
        <v>4518</v>
      </c>
      <c r="G1060" s="55" t="s">
        <v>4519</v>
      </c>
      <c r="I1060" s="55" t="s">
        <v>851</v>
      </c>
    </row>
    <row r="1061" customFormat="false" ht="11.25" hidden="false" customHeight="true" outlineLevel="0" collapsed="false">
      <c r="A1061" s="55" t="s">
        <v>2243</v>
      </c>
      <c r="B1061" s="55" t="s">
        <v>16</v>
      </c>
      <c r="C1061" s="55" t="s">
        <v>3510</v>
      </c>
      <c r="D1061" s="55" t="s">
        <v>3511</v>
      </c>
      <c r="E1061" s="55" t="s">
        <v>3512</v>
      </c>
      <c r="F1061" s="55" t="s">
        <v>2318</v>
      </c>
      <c r="G1061" s="55" t="s">
        <v>3513</v>
      </c>
      <c r="I1061" s="55" t="s">
        <v>851</v>
      </c>
    </row>
    <row r="1062" customFormat="false" ht="11.25" hidden="false" customHeight="true" outlineLevel="0" collapsed="false">
      <c r="A1062" s="55" t="s">
        <v>2243</v>
      </c>
      <c r="B1062" s="55" t="s">
        <v>16</v>
      </c>
      <c r="C1062" s="55" t="s">
        <v>4520</v>
      </c>
      <c r="D1062" s="55" t="s">
        <v>4521</v>
      </c>
      <c r="E1062" s="55" t="s">
        <v>4522</v>
      </c>
      <c r="F1062" s="55" t="s">
        <v>2470</v>
      </c>
      <c r="I1062" s="55" t="s">
        <v>851</v>
      </c>
    </row>
    <row r="1063" customFormat="false" ht="11.25" hidden="false" customHeight="true" outlineLevel="0" collapsed="false">
      <c r="A1063" s="55" t="s">
        <v>2243</v>
      </c>
      <c r="B1063" s="55" t="s">
        <v>16</v>
      </c>
      <c r="C1063" s="55" t="s">
        <v>4523</v>
      </c>
      <c r="D1063" s="55" t="s">
        <v>4524</v>
      </c>
      <c r="E1063" s="55" t="s">
        <v>4525</v>
      </c>
      <c r="F1063" s="55" t="s">
        <v>2371</v>
      </c>
      <c r="I1063" s="55" t="s">
        <v>851</v>
      </c>
    </row>
    <row r="1064" customFormat="false" ht="11.25" hidden="false" customHeight="true" outlineLevel="0" collapsed="false">
      <c r="A1064" s="55" t="s">
        <v>2243</v>
      </c>
      <c r="B1064" s="55" t="s">
        <v>16</v>
      </c>
      <c r="C1064" s="55" t="s">
        <v>3527</v>
      </c>
      <c r="D1064" s="55" t="s">
        <v>3528</v>
      </c>
      <c r="E1064" s="55" t="s">
        <v>3529</v>
      </c>
      <c r="F1064" s="55" t="s">
        <v>2716</v>
      </c>
      <c r="G1064" s="55" t="s">
        <v>3530</v>
      </c>
      <c r="I1064" s="55" t="s">
        <v>851</v>
      </c>
    </row>
    <row r="1065" customFormat="false" ht="11.25" hidden="false" customHeight="true" outlineLevel="0" collapsed="false">
      <c r="A1065" s="55" t="s">
        <v>2243</v>
      </c>
      <c r="B1065" s="55" t="s">
        <v>16</v>
      </c>
      <c r="C1065" s="55" t="s">
        <v>3538</v>
      </c>
      <c r="D1065" s="55" t="s">
        <v>3539</v>
      </c>
      <c r="E1065" s="55" t="s">
        <v>3540</v>
      </c>
      <c r="F1065" s="55" t="s">
        <v>2470</v>
      </c>
      <c r="G1065" s="55" t="s">
        <v>3541</v>
      </c>
      <c r="I1065" s="55" t="s">
        <v>851</v>
      </c>
    </row>
    <row r="1066" customFormat="false" ht="11.25" hidden="false" customHeight="true" outlineLevel="0" collapsed="false">
      <c r="A1066" s="55" t="s">
        <v>2243</v>
      </c>
      <c r="B1066" s="55" t="s">
        <v>16</v>
      </c>
      <c r="C1066" s="55" t="s">
        <v>4526</v>
      </c>
      <c r="D1066" s="55" t="s">
        <v>4527</v>
      </c>
      <c r="E1066" s="55" t="s">
        <v>4528</v>
      </c>
      <c r="F1066" s="55" t="s">
        <v>4529</v>
      </c>
      <c r="G1066" s="55" t="s">
        <v>4530</v>
      </c>
      <c r="I1066" s="55" t="s">
        <v>851</v>
      </c>
    </row>
    <row r="1067" customFormat="false" ht="11.25" hidden="false" customHeight="true" outlineLevel="0" collapsed="false">
      <c r="A1067" s="55" t="s">
        <v>2243</v>
      </c>
      <c r="B1067" s="55" t="s">
        <v>16</v>
      </c>
      <c r="C1067" s="55" t="s">
        <v>4531</v>
      </c>
      <c r="D1067" s="55" t="s">
        <v>4532</v>
      </c>
      <c r="E1067" s="55" t="s">
        <v>4533</v>
      </c>
      <c r="F1067" s="55" t="s">
        <v>2291</v>
      </c>
      <c r="I1067" s="55" t="s">
        <v>851</v>
      </c>
    </row>
    <row r="1068" customFormat="false" ht="11.25" hidden="false" customHeight="true" outlineLevel="0" collapsed="false">
      <c r="A1068" s="55" t="s">
        <v>2243</v>
      </c>
      <c r="B1068" s="55" t="s">
        <v>16</v>
      </c>
      <c r="C1068" s="55" t="s">
        <v>3549</v>
      </c>
      <c r="D1068" s="55" t="s">
        <v>3550</v>
      </c>
      <c r="E1068" s="55" t="s">
        <v>3551</v>
      </c>
      <c r="F1068" s="55" t="s">
        <v>2371</v>
      </c>
      <c r="I1068" s="55" t="s">
        <v>851</v>
      </c>
    </row>
    <row r="1069" customFormat="false" ht="11.25" hidden="false" customHeight="true" outlineLevel="0" collapsed="false">
      <c r="A1069" s="55" t="s">
        <v>2243</v>
      </c>
      <c r="B1069" s="55" t="s">
        <v>16</v>
      </c>
      <c r="C1069" s="55" t="s">
        <v>3552</v>
      </c>
      <c r="D1069" s="55" t="s">
        <v>3553</v>
      </c>
      <c r="E1069" s="55" t="s">
        <v>3554</v>
      </c>
      <c r="F1069" s="55" t="s">
        <v>2314</v>
      </c>
      <c r="I1069" s="55" t="s">
        <v>851</v>
      </c>
    </row>
    <row r="1070" customFormat="false" ht="11.25" hidden="false" customHeight="true" outlineLevel="0" collapsed="false">
      <c r="A1070" s="55" t="s">
        <v>2243</v>
      </c>
      <c r="B1070" s="55" t="s">
        <v>16</v>
      </c>
      <c r="C1070" s="55" t="s">
        <v>4534</v>
      </c>
      <c r="D1070" s="55" t="s">
        <v>4535</v>
      </c>
      <c r="E1070" s="55" t="s">
        <v>4536</v>
      </c>
      <c r="F1070" s="55" t="s">
        <v>2274</v>
      </c>
      <c r="G1070" s="55" t="s">
        <v>4537</v>
      </c>
      <c r="H1070" s="55" t="s">
        <v>4538</v>
      </c>
      <c r="I1070" s="55" t="s">
        <v>851</v>
      </c>
    </row>
    <row r="1071" customFormat="false" ht="11.25" hidden="false" customHeight="true" outlineLevel="0" collapsed="false">
      <c r="A1071" s="55" t="s">
        <v>2243</v>
      </c>
      <c r="B1071" s="55" t="s">
        <v>16</v>
      </c>
      <c r="C1071" s="55" t="s">
        <v>4539</v>
      </c>
      <c r="D1071" s="55" t="s">
        <v>4540</v>
      </c>
      <c r="E1071" s="55" t="s">
        <v>4541</v>
      </c>
      <c r="F1071" s="55" t="s">
        <v>2283</v>
      </c>
      <c r="G1071" s="55" t="s">
        <v>4542</v>
      </c>
      <c r="I1071" s="55" t="s">
        <v>851</v>
      </c>
    </row>
    <row r="1072" customFormat="false" ht="11.25" hidden="false" customHeight="true" outlineLevel="0" collapsed="false">
      <c r="A1072" s="55" t="s">
        <v>2243</v>
      </c>
      <c r="B1072" s="55" t="s">
        <v>16</v>
      </c>
      <c r="C1072" s="55" t="s">
        <v>4543</v>
      </c>
      <c r="D1072" s="55" t="s">
        <v>4544</v>
      </c>
      <c r="E1072" s="55" t="s">
        <v>4545</v>
      </c>
      <c r="F1072" s="55" t="s">
        <v>2347</v>
      </c>
      <c r="G1072" s="55" t="s">
        <v>4546</v>
      </c>
      <c r="I1072" s="55" t="s">
        <v>851</v>
      </c>
    </row>
    <row r="1073" customFormat="false" ht="11.25" hidden="false" customHeight="true" outlineLevel="0" collapsed="false">
      <c r="A1073" s="55" t="s">
        <v>2243</v>
      </c>
      <c r="B1073" s="55" t="s">
        <v>16</v>
      </c>
      <c r="C1073" s="55" t="s">
        <v>3558</v>
      </c>
      <c r="D1073" s="55" t="s">
        <v>3559</v>
      </c>
      <c r="E1073" s="55" t="s">
        <v>3560</v>
      </c>
      <c r="F1073" s="55" t="s">
        <v>3561</v>
      </c>
      <c r="I1073" s="55" t="s">
        <v>851</v>
      </c>
    </row>
    <row r="1074" customFormat="false" ht="11.25" hidden="false" customHeight="true" outlineLevel="0" collapsed="false">
      <c r="A1074" s="55" t="s">
        <v>2243</v>
      </c>
      <c r="B1074" s="55" t="s">
        <v>16</v>
      </c>
      <c r="C1074" s="55" t="s">
        <v>4547</v>
      </c>
      <c r="D1074" s="55" t="s">
        <v>4548</v>
      </c>
      <c r="E1074" s="55" t="s">
        <v>3560</v>
      </c>
      <c r="F1074" s="55" t="s">
        <v>4549</v>
      </c>
      <c r="G1074" s="55" t="s">
        <v>4550</v>
      </c>
      <c r="I1074" s="55" t="s">
        <v>851</v>
      </c>
    </row>
    <row r="1075" customFormat="false" ht="11.25" hidden="false" customHeight="true" outlineLevel="0" collapsed="false">
      <c r="A1075" s="55" t="s">
        <v>2243</v>
      </c>
      <c r="B1075" s="55" t="s">
        <v>16</v>
      </c>
      <c r="C1075" s="55" t="s">
        <v>3576</v>
      </c>
      <c r="D1075" s="55" t="s">
        <v>3577</v>
      </c>
      <c r="E1075" s="55" t="s">
        <v>3560</v>
      </c>
      <c r="F1075" s="55" t="s">
        <v>3578</v>
      </c>
      <c r="I1075" s="55" t="s">
        <v>851</v>
      </c>
    </row>
    <row r="1076" customFormat="false" ht="11.25" hidden="false" customHeight="true" outlineLevel="0" collapsed="false">
      <c r="A1076" s="55" t="s">
        <v>2243</v>
      </c>
      <c r="B1076" s="55" t="s">
        <v>16</v>
      </c>
      <c r="C1076" s="55" t="s">
        <v>3591</v>
      </c>
      <c r="D1076" s="55" t="s">
        <v>3592</v>
      </c>
      <c r="E1076" s="55" t="s">
        <v>3593</v>
      </c>
      <c r="F1076" s="55" t="s">
        <v>2653</v>
      </c>
      <c r="G1076" s="55" t="s">
        <v>3594</v>
      </c>
      <c r="I1076" s="55" t="s">
        <v>851</v>
      </c>
    </row>
    <row r="1077" customFormat="false" ht="11.25" hidden="false" customHeight="true" outlineLevel="0" collapsed="false">
      <c r="A1077" s="55" t="s">
        <v>2243</v>
      </c>
      <c r="B1077" s="55" t="s">
        <v>16</v>
      </c>
      <c r="C1077" s="55" t="s">
        <v>3595</v>
      </c>
      <c r="D1077" s="55" t="s">
        <v>3596</v>
      </c>
      <c r="E1077" s="55" t="s">
        <v>3593</v>
      </c>
      <c r="F1077" s="55" t="s">
        <v>3597</v>
      </c>
      <c r="G1077" s="55" t="s">
        <v>3594</v>
      </c>
      <c r="I1077" s="55" t="s">
        <v>851</v>
      </c>
    </row>
    <row r="1078" customFormat="false" ht="11.25" hidden="false" customHeight="true" outlineLevel="0" collapsed="false">
      <c r="A1078" s="55" t="s">
        <v>2243</v>
      </c>
      <c r="B1078" s="55" t="s">
        <v>16</v>
      </c>
      <c r="C1078" s="55" t="s">
        <v>3598</v>
      </c>
      <c r="D1078" s="55" t="s">
        <v>3599</v>
      </c>
      <c r="E1078" s="55" t="s">
        <v>3600</v>
      </c>
      <c r="F1078" s="55" t="s">
        <v>2959</v>
      </c>
      <c r="I1078" s="55" t="s">
        <v>851</v>
      </c>
    </row>
    <row r="1079" customFormat="false" ht="11.25" hidden="false" customHeight="true" outlineLevel="0" collapsed="false">
      <c r="A1079" s="55" t="s">
        <v>2243</v>
      </c>
      <c r="B1079" s="55" t="s">
        <v>16</v>
      </c>
      <c r="C1079" s="55" t="s">
        <v>4551</v>
      </c>
      <c r="D1079" s="55" t="s">
        <v>4552</v>
      </c>
      <c r="E1079" s="55" t="s">
        <v>4553</v>
      </c>
      <c r="F1079" s="55" t="s">
        <v>2672</v>
      </c>
      <c r="G1079" s="55" t="s">
        <v>4554</v>
      </c>
      <c r="I1079" s="55" t="s">
        <v>851</v>
      </c>
    </row>
    <row r="1080" customFormat="false" ht="11.25" hidden="false" customHeight="true" outlineLevel="0" collapsed="false">
      <c r="A1080" s="55" t="s">
        <v>2243</v>
      </c>
      <c r="B1080" s="55" t="s">
        <v>16</v>
      </c>
      <c r="C1080" s="55" t="s">
        <v>3619</v>
      </c>
      <c r="D1080" s="55" t="s">
        <v>3620</v>
      </c>
      <c r="E1080" s="55" t="s">
        <v>3621</v>
      </c>
      <c r="F1080" s="55" t="s">
        <v>2309</v>
      </c>
      <c r="I1080" s="55" t="s">
        <v>851</v>
      </c>
    </row>
    <row r="1081" customFormat="false" ht="11.25" hidden="false" customHeight="true" outlineLevel="0" collapsed="false">
      <c r="A1081" s="55" t="s">
        <v>2243</v>
      </c>
      <c r="B1081" s="55" t="s">
        <v>16</v>
      </c>
      <c r="C1081" s="55" t="s">
        <v>3622</v>
      </c>
      <c r="D1081" s="55" t="s">
        <v>3623</v>
      </c>
      <c r="E1081" s="55" t="s">
        <v>3624</v>
      </c>
      <c r="F1081" s="55" t="s">
        <v>3625</v>
      </c>
      <c r="I1081" s="55" t="s">
        <v>851</v>
      </c>
    </row>
    <row r="1082" customFormat="false" ht="11.25" hidden="false" customHeight="true" outlineLevel="0" collapsed="false">
      <c r="A1082" s="55" t="s">
        <v>2243</v>
      </c>
      <c r="B1082" s="55" t="s">
        <v>16</v>
      </c>
      <c r="C1082" s="55" t="s">
        <v>3626</v>
      </c>
      <c r="D1082" s="55" t="s">
        <v>3627</v>
      </c>
      <c r="E1082" s="55" t="s">
        <v>3628</v>
      </c>
      <c r="F1082" s="55" t="s">
        <v>2247</v>
      </c>
      <c r="G1082" s="55" t="s">
        <v>2717</v>
      </c>
      <c r="I1082" s="55" t="s">
        <v>851</v>
      </c>
    </row>
    <row r="1083" customFormat="false" ht="11.25" hidden="false" customHeight="true" outlineLevel="0" collapsed="false">
      <c r="A1083" s="55" t="s">
        <v>2243</v>
      </c>
      <c r="B1083" s="55" t="s">
        <v>16</v>
      </c>
      <c r="C1083" s="55" t="s">
        <v>3635</v>
      </c>
      <c r="D1083" s="55" t="s">
        <v>3636</v>
      </c>
      <c r="E1083" s="55" t="s">
        <v>3637</v>
      </c>
      <c r="F1083" s="55" t="s">
        <v>2247</v>
      </c>
      <c r="G1083" s="55" t="s">
        <v>3638</v>
      </c>
      <c r="I1083" s="55" t="s">
        <v>851</v>
      </c>
    </row>
    <row r="1084" customFormat="false" ht="11.25" hidden="false" customHeight="true" outlineLevel="0" collapsed="false">
      <c r="A1084" s="55" t="s">
        <v>2243</v>
      </c>
      <c r="B1084" s="55" t="s">
        <v>16</v>
      </c>
      <c r="C1084" s="55" t="s">
        <v>3639</v>
      </c>
      <c r="D1084" s="55" t="s">
        <v>3640</v>
      </c>
      <c r="E1084" s="55" t="s">
        <v>3641</v>
      </c>
      <c r="F1084" s="55" t="s">
        <v>3642</v>
      </c>
      <c r="I1084" s="55" t="s">
        <v>851</v>
      </c>
    </row>
    <row r="1085" customFormat="false" ht="11.25" hidden="false" customHeight="true" outlineLevel="0" collapsed="false">
      <c r="A1085" s="55" t="s">
        <v>2243</v>
      </c>
      <c r="B1085" s="55" t="s">
        <v>16</v>
      </c>
      <c r="C1085" s="55" t="s">
        <v>3647</v>
      </c>
      <c r="D1085" s="55" t="s">
        <v>3648</v>
      </c>
      <c r="E1085" s="55" t="s">
        <v>3649</v>
      </c>
      <c r="F1085" s="55" t="s">
        <v>2247</v>
      </c>
      <c r="I1085" s="55" t="s">
        <v>851</v>
      </c>
    </row>
    <row r="1086" customFormat="false" ht="11.25" hidden="false" customHeight="true" outlineLevel="0" collapsed="false">
      <c r="A1086" s="55" t="s">
        <v>2243</v>
      </c>
      <c r="B1086" s="55" t="s">
        <v>16</v>
      </c>
      <c r="C1086" s="55" t="s">
        <v>3650</v>
      </c>
      <c r="D1086" s="55" t="s">
        <v>3651</v>
      </c>
      <c r="E1086" s="55" t="s">
        <v>3652</v>
      </c>
      <c r="F1086" s="55" t="s">
        <v>2318</v>
      </c>
      <c r="G1086" s="55" t="s">
        <v>3653</v>
      </c>
      <c r="I1086" s="55" t="s">
        <v>851</v>
      </c>
    </row>
    <row r="1087" customFormat="false" ht="11.25" hidden="false" customHeight="true" outlineLevel="0" collapsed="false">
      <c r="A1087" s="55" t="s">
        <v>2243</v>
      </c>
      <c r="B1087" s="55" t="s">
        <v>16</v>
      </c>
      <c r="C1087" s="55" t="s">
        <v>4555</v>
      </c>
      <c r="D1087" s="55" t="s">
        <v>4556</v>
      </c>
      <c r="E1087" s="55" t="s">
        <v>4557</v>
      </c>
      <c r="F1087" s="55" t="s">
        <v>2318</v>
      </c>
      <c r="I1087" s="55" t="s">
        <v>851</v>
      </c>
    </row>
    <row r="1088" customFormat="false" ht="11.25" hidden="false" customHeight="true" outlineLevel="0" collapsed="false">
      <c r="A1088" s="55" t="s">
        <v>2243</v>
      </c>
      <c r="B1088" s="55" t="s">
        <v>16</v>
      </c>
      <c r="C1088" s="55" t="s">
        <v>3658</v>
      </c>
      <c r="D1088" s="55" t="s">
        <v>3659</v>
      </c>
      <c r="E1088" s="55" t="s">
        <v>3660</v>
      </c>
      <c r="F1088" s="55" t="s">
        <v>2371</v>
      </c>
      <c r="I1088" s="55" t="s">
        <v>851</v>
      </c>
    </row>
    <row r="1089" customFormat="false" ht="11.25" hidden="false" customHeight="true" outlineLevel="0" collapsed="false">
      <c r="A1089" s="55" t="s">
        <v>2243</v>
      </c>
      <c r="B1089" s="55" t="s">
        <v>16</v>
      </c>
      <c r="C1089" s="55" t="s">
        <v>3664</v>
      </c>
      <c r="D1089" s="55" t="s">
        <v>3665</v>
      </c>
      <c r="E1089" s="55" t="s">
        <v>3666</v>
      </c>
      <c r="F1089" s="55" t="s">
        <v>2314</v>
      </c>
      <c r="I1089" s="55" t="s">
        <v>851</v>
      </c>
    </row>
    <row r="1090" customFormat="false" ht="11.25" hidden="false" customHeight="true" outlineLevel="0" collapsed="false">
      <c r="A1090" s="55" t="s">
        <v>2243</v>
      </c>
      <c r="B1090" s="55" t="s">
        <v>16</v>
      </c>
      <c r="C1090" s="55" t="s">
        <v>3677</v>
      </c>
      <c r="D1090" s="55" t="s">
        <v>3678</v>
      </c>
      <c r="E1090" s="55" t="s">
        <v>3679</v>
      </c>
      <c r="F1090" s="55" t="s">
        <v>2470</v>
      </c>
      <c r="I1090" s="55" t="s">
        <v>851</v>
      </c>
    </row>
    <row r="1091" customFormat="false" ht="11.25" hidden="false" customHeight="true" outlineLevel="0" collapsed="false">
      <c r="A1091" s="55" t="s">
        <v>2243</v>
      </c>
      <c r="B1091" s="55" t="s">
        <v>16</v>
      </c>
      <c r="C1091" s="55" t="s">
        <v>3690</v>
      </c>
      <c r="D1091" s="55" t="s">
        <v>3691</v>
      </c>
      <c r="E1091" s="55" t="s">
        <v>3692</v>
      </c>
      <c r="F1091" s="55" t="s">
        <v>2371</v>
      </c>
      <c r="G1091" s="55" t="s">
        <v>3693</v>
      </c>
      <c r="I1091" s="55" t="s">
        <v>851</v>
      </c>
    </row>
    <row r="1092" customFormat="false" ht="11.25" hidden="false" customHeight="true" outlineLevel="0" collapsed="false">
      <c r="A1092" s="55" t="s">
        <v>2243</v>
      </c>
      <c r="B1092" s="55" t="s">
        <v>16</v>
      </c>
      <c r="C1092" s="55" t="s">
        <v>4558</v>
      </c>
      <c r="D1092" s="55" t="s">
        <v>4559</v>
      </c>
      <c r="E1092" s="55" t="s">
        <v>4560</v>
      </c>
      <c r="F1092" s="55" t="s">
        <v>3130</v>
      </c>
      <c r="G1092" s="55" t="s">
        <v>3053</v>
      </c>
      <c r="I1092" s="55" t="s">
        <v>851</v>
      </c>
    </row>
    <row r="1093" customFormat="false" ht="11.25" hidden="false" customHeight="true" outlineLevel="0" collapsed="false">
      <c r="A1093" s="55" t="s">
        <v>2243</v>
      </c>
      <c r="B1093" s="55" t="s">
        <v>16</v>
      </c>
      <c r="C1093" s="55" t="s">
        <v>3716</v>
      </c>
      <c r="D1093" s="55" t="s">
        <v>3717</v>
      </c>
      <c r="E1093" s="55" t="s">
        <v>3718</v>
      </c>
      <c r="F1093" s="55" t="s">
        <v>2566</v>
      </c>
      <c r="I1093" s="55" t="s">
        <v>851</v>
      </c>
    </row>
    <row r="1094" customFormat="false" ht="11.25" hidden="false" customHeight="true" outlineLevel="0" collapsed="false">
      <c r="A1094" s="55" t="s">
        <v>2243</v>
      </c>
      <c r="B1094" s="55" t="s">
        <v>16</v>
      </c>
      <c r="C1094" s="55" t="s">
        <v>4561</v>
      </c>
      <c r="D1094" s="55" t="s">
        <v>4562</v>
      </c>
      <c r="E1094" s="55" t="s">
        <v>4563</v>
      </c>
      <c r="F1094" s="55" t="s">
        <v>2566</v>
      </c>
      <c r="G1094" s="55" t="s">
        <v>4564</v>
      </c>
      <c r="I1094" s="55" t="s">
        <v>851</v>
      </c>
    </row>
    <row r="1095" customFormat="false" ht="11.25" hidden="false" customHeight="true" outlineLevel="0" collapsed="false">
      <c r="A1095" s="55" t="s">
        <v>2243</v>
      </c>
      <c r="B1095" s="55" t="s">
        <v>16</v>
      </c>
      <c r="C1095" s="55" t="s">
        <v>3736</v>
      </c>
      <c r="D1095" s="55" t="s">
        <v>3737</v>
      </c>
      <c r="E1095" s="55" t="s">
        <v>3738</v>
      </c>
      <c r="F1095" s="55" t="s">
        <v>2318</v>
      </c>
      <c r="I1095" s="55" t="s">
        <v>851</v>
      </c>
    </row>
    <row r="1096" customFormat="false" ht="11.25" hidden="false" customHeight="true" outlineLevel="0" collapsed="false">
      <c r="A1096" s="55" t="s">
        <v>2243</v>
      </c>
      <c r="B1096" s="55" t="s">
        <v>16</v>
      </c>
      <c r="C1096" s="55" t="s">
        <v>3762</v>
      </c>
      <c r="D1096" s="55" t="s">
        <v>3763</v>
      </c>
      <c r="E1096" s="55" t="s">
        <v>3764</v>
      </c>
      <c r="F1096" s="55" t="s">
        <v>2329</v>
      </c>
      <c r="I1096" s="55" t="s">
        <v>851</v>
      </c>
    </row>
    <row r="1097" customFormat="false" ht="11.25" hidden="false" customHeight="true" outlineLevel="0" collapsed="false">
      <c r="A1097" s="55" t="s">
        <v>2243</v>
      </c>
      <c r="B1097" s="55" t="s">
        <v>16</v>
      </c>
      <c r="C1097" s="55" t="s">
        <v>3765</v>
      </c>
      <c r="D1097" s="55" t="s">
        <v>3766</v>
      </c>
      <c r="E1097" s="55" t="s">
        <v>3767</v>
      </c>
      <c r="F1097" s="55" t="s">
        <v>2757</v>
      </c>
      <c r="G1097" s="55" t="s">
        <v>3768</v>
      </c>
      <c r="I1097" s="55" t="s">
        <v>851</v>
      </c>
    </row>
    <row r="1098" customFormat="false" ht="11.25" hidden="false" customHeight="true" outlineLevel="0" collapsed="false">
      <c r="A1098" s="55" t="s">
        <v>2243</v>
      </c>
      <c r="B1098" s="55" t="s">
        <v>16</v>
      </c>
      <c r="C1098" s="55" t="s">
        <v>3784</v>
      </c>
      <c r="D1098" s="55" t="s">
        <v>3785</v>
      </c>
      <c r="E1098" s="55" t="s">
        <v>3786</v>
      </c>
      <c r="F1098" s="55" t="s">
        <v>2314</v>
      </c>
      <c r="G1098" s="55" t="s">
        <v>3787</v>
      </c>
      <c r="I1098" s="55" t="s">
        <v>851</v>
      </c>
    </row>
    <row r="1099" customFormat="false" ht="11.25" hidden="false" customHeight="true" outlineLevel="0" collapsed="false">
      <c r="A1099" s="55" t="s">
        <v>2243</v>
      </c>
      <c r="B1099" s="55" t="s">
        <v>16</v>
      </c>
      <c r="C1099" s="55" t="s">
        <v>3795</v>
      </c>
      <c r="D1099" s="55" t="s">
        <v>3796</v>
      </c>
      <c r="E1099" s="55" t="s">
        <v>3797</v>
      </c>
      <c r="F1099" s="55" t="s">
        <v>2314</v>
      </c>
      <c r="G1099" s="55" t="s">
        <v>3798</v>
      </c>
      <c r="I1099" s="55" t="s">
        <v>851</v>
      </c>
    </row>
    <row r="1100" customFormat="false" ht="11.25" hidden="false" customHeight="true" outlineLevel="0" collapsed="false">
      <c r="A1100" s="55" t="s">
        <v>2243</v>
      </c>
      <c r="B1100" s="55" t="s">
        <v>16</v>
      </c>
      <c r="C1100" s="55" t="s">
        <v>3819</v>
      </c>
      <c r="D1100" s="55" t="s">
        <v>3820</v>
      </c>
      <c r="E1100" s="55" t="s">
        <v>3821</v>
      </c>
      <c r="F1100" s="55" t="s">
        <v>2566</v>
      </c>
      <c r="G1100" s="55" t="s">
        <v>3822</v>
      </c>
      <c r="I1100" s="55" t="s">
        <v>851</v>
      </c>
    </row>
    <row r="1101" customFormat="false" ht="11.25" hidden="false" customHeight="true" outlineLevel="0" collapsed="false">
      <c r="A1101" s="55" t="s">
        <v>2243</v>
      </c>
      <c r="B1101" s="55" t="s">
        <v>16</v>
      </c>
      <c r="C1101" s="55" t="s">
        <v>4565</v>
      </c>
      <c r="D1101" s="55" t="s">
        <v>4566</v>
      </c>
      <c r="E1101" s="55" t="s">
        <v>4567</v>
      </c>
      <c r="F1101" s="55" t="s">
        <v>2329</v>
      </c>
      <c r="G1101" s="55" t="s">
        <v>4568</v>
      </c>
      <c r="I1101" s="55" t="s">
        <v>851</v>
      </c>
    </row>
    <row r="1102" customFormat="false" ht="11.25" hidden="false" customHeight="true" outlineLevel="0" collapsed="false">
      <c r="A1102" s="55" t="s">
        <v>2243</v>
      </c>
      <c r="B1102" s="55" t="s">
        <v>16</v>
      </c>
      <c r="C1102" s="55" t="s">
        <v>3855</v>
      </c>
      <c r="D1102" s="55" t="s">
        <v>3856</v>
      </c>
      <c r="E1102" s="55" t="s">
        <v>3857</v>
      </c>
      <c r="F1102" s="55" t="s">
        <v>2314</v>
      </c>
      <c r="G1102" s="55" t="s">
        <v>2638</v>
      </c>
      <c r="I1102" s="55" t="s">
        <v>851</v>
      </c>
    </row>
    <row r="1103" customFormat="false" ht="11.25" hidden="false" customHeight="true" outlineLevel="0" collapsed="false">
      <c r="A1103" s="55" t="s">
        <v>2243</v>
      </c>
      <c r="B1103" s="55" t="s">
        <v>16</v>
      </c>
      <c r="C1103" s="55" t="s">
        <v>3861</v>
      </c>
      <c r="D1103" s="55" t="s">
        <v>3862</v>
      </c>
      <c r="E1103" s="55" t="s">
        <v>3863</v>
      </c>
      <c r="F1103" s="55" t="s">
        <v>2470</v>
      </c>
      <c r="G1103" s="55" t="s">
        <v>3864</v>
      </c>
      <c r="I1103" s="55" t="s">
        <v>851</v>
      </c>
    </row>
    <row r="1104" customFormat="false" ht="11.25" hidden="false" customHeight="true" outlineLevel="0" collapsed="false">
      <c r="A1104" s="55" t="s">
        <v>2243</v>
      </c>
      <c r="B1104" s="55" t="s">
        <v>16</v>
      </c>
      <c r="C1104" s="55" t="s">
        <v>3868</v>
      </c>
      <c r="D1104" s="55" t="s">
        <v>3869</v>
      </c>
      <c r="E1104" s="55" t="s">
        <v>3870</v>
      </c>
      <c r="F1104" s="55" t="s">
        <v>2314</v>
      </c>
      <c r="I1104" s="55" t="s">
        <v>851</v>
      </c>
    </row>
    <row r="1105" customFormat="false" ht="11.25" hidden="false" customHeight="true" outlineLevel="0" collapsed="false">
      <c r="A1105" s="55" t="s">
        <v>2243</v>
      </c>
      <c r="B1105" s="55" t="s">
        <v>16</v>
      </c>
      <c r="C1105" s="55" t="s">
        <v>4569</v>
      </c>
      <c r="D1105" s="55" t="s">
        <v>4570</v>
      </c>
      <c r="E1105" s="55" t="s">
        <v>4571</v>
      </c>
      <c r="F1105" s="55" t="s">
        <v>2371</v>
      </c>
      <c r="G1105" s="55" t="s">
        <v>4572</v>
      </c>
      <c r="I1105" s="55" t="s">
        <v>851</v>
      </c>
    </row>
    <row r="1106" customFormat="false" ht="11.25" hidden="false" customHeight="true" outlineLevel="0" collapsed="false">
      <c r="A1106" s="55" t="s">
        <v>2243</v>
      </c>
      <c r="B1106" s="55" t="s">
        <v>16</v>
      </c>
      <c r="C1106" s="55" t="s">
        <v>3871</v>
      </c>
      <c r="D1106" s="55" t="s">
        <v>3872</v>
      </c>
      <c r="E1106" s="55" t="s">
        <v>3873</v>
      </c>
      <c r="F1106" s="55" t="s">
        <v>2247</v>
      </c>
      <c r="I1106" s="55" t="s">
        <v>851</v>
      </c>
    </row>
    <row r="1107" customFormat="false" ht="11.25" hidden="false" customHeight="true" outlineLevel="0" collapsed="false">
      <c r="A1107" s="55" t="s">
        <v>2243</v>
      </c>
      <c r="B1107" s="55" t="s">
        <v>16</v>
      </c>
      <c r="C1107" s="55" t="s">
        <v>3874</v>
      </c>
      <c r="D1107" s="55" t="s">
        <v>3875</v>
      </c>
      <c r="E1107" s="55" t="s">
        <v>3876</v>
      </c>
      <c r="F1107" s="55" t="s">
        <v>2314</v>
      </c>
      <c r="G1107" s="55" t="s">
        <v>3877</v>
      </c>
      <c r="I1107" s="55" t="s">
        <v>851</v>
      </c>
    </row>
    <row r="1108" customFormat="false" ht="11.25" hidden="false" customHeight="true" outlineLevel="0" collapsed="false">
      <c r="A1108" s="55" t="s">
        <v>2243</v>
      </c>
      <c r="B1108" s="55" t="s">
        <v>16</v>
      </c>
      <c r="C1108" s="55" t="s">
        <v>3882</v>
      </c>
      <c r="D1108" s="55" t="s">
        <v>3883</v>
      </c>
      <c r="E1108" s="55" t="s">
        <v>3884</v>
      </c>
      <c r="F1108" s="55" t="s">
        <v>2371</v>
      </c>
      <c r="G1108" s="55" t="s">
        <v>3885</v>
      </c>
      <c r="I1108" s="55" t="s">
        <v>851</v>
      </c>
    </row>
    <row r="1109" customFormat="false" ht="11.25" hidden="false" customHeight="true" outlineLevel="0" collapsed="false">
      <c r="A1109" s="55" t="s">
        <v>2243</v>
      </c>
      <c r="B1109" s="55" t="s">
        <v>16</v>
      </c>
      <c r="C1109" s="55" t="s">
        <v>3889</v>
      </c>
      <c r="D1109" s="55" t="s">
        <v>3890</v>
      </c>
      <c r="E1109" s="55" t="s">
        <v>3891</v>
      </c>
      <c r="F1109" s="55" t="s">
        <v>2558</v>
      </c>
      <c r="G1109" s="55" t="s">
        <v>3892</v>
      </c>
      <c r="I1109" s="55" t="s">
        <v>851</v>
      </c>
    </row>
    <row r="1110" customFormat="false" ht="11.25" hidden="false" customHeight="true" outlineLevel="0" collapsed="false">
      <c r="A1110" s="55" t="s">
        <v>2243</v>
      </c>
      <c r="B1110" s="55" t="s">
        <v>16</v>
      </c>
      <c r="C1110" s="55" t="s">
        <v>3923</v>
      </c>
      <c r="D1110" s="55" t="s">
        <v>3924</v>
      </c>
      <c r="E1110" s="55" t="s">
        <v>3925</v>
      </c>
      <c r="F1110" s="55" t="s">
        <v>2247</v>
      </c>
      <c r="G1110" s="55" t="s">
        <v>3926</v>
      </c>
      <c r="I1110" s="55" t="s">
        <v>851</v>
      </c>
    </row>
    <row r="1111" customFormat="false" ht="11.25" hidden="false" customHeight="true" outlineLevel="0" collapsed="false">
      <c r="A1111" s="55" t="s">
        <v>2243</v>
      </c>
      <c r="B1111" s="55" t="s">
        <v>16</v>
      </c>
      <c r="C1111" s="55" t="s">
        <v>3927</v>
      </c>
      <c r="D1111" s="55" t="s">
        <v>3928</v>
      </c>
      <c r="E1111" s="55" t="s">
        <v>3929</v>
      </c>
      <c r="F1111" s="55" t="s">
        <v>2371</v>
      </c>
      <c r="G1111" s="55" t="s">
        <v>3930</v>
      </c>
      <c r="I1111" s="55" t="s">
        <v>851</v>
      </c>
    </row>
    <row r="1112" customFormat="false" ht="11.25" hidden="false" customHeight="true" outlineLevel="0" collapsed="false">
      <c r="A1112" s="55" t="s">
        <v>2243</v>
      </c>
      <c r="B1112" s="55" t="s">
        <v>16</v>
      </c>
      <c r="C1112" s="55" t="s">
        <v>3931</v>
      </c>
      <c r="D1112" s="55" t="s">
        <v>3932</v>
      </c>
      <c r="E1112" s="55" t="s">
        <v>3933</v>
      </c>
      <c r="F1112" s="55" t="s">
        <v>2318</v>
      </c>
      <c r="G1112" s="55" t="s">
        <v>3934</v>
      </c>
      <c r="I1112" s="55" t="s">
        <v>851</v>
      </c>
    </row>
    <row r="1113" customFormat="false" ht="11.25" hidden="false" customHeight="true" outlineLevel="0" collapsed="false">
      <c r="A1113" s="55" t="s">
        <v>2243</v>
      </c>
      <c r="B1113" s="55" t="s">
        <v>16</v>
      </c>
      <c r="C1113" s="55" t="s">
        <v>3938</v>
      </c>
      <c r="D1113" s="55" t="s">
        <v>3939</v>
      </c>
      <c r="E1113" s="55" t="s">
        <v>3940</v>
      </c>
      <c r="F1113" s="55" t="s">
        <v>2314</v>
      </c>
      <c r="I1113" s="55" t="s">
        <v>851</v>
      </c>
    </row>
    <row r="1114" customFormat="false" ht="11.25" hidden="false" customHeight="true" outlineLevel="0" collapsed="false">
      <c r="A1114" s="55" t="s">
        <v>2243</v>
      </c>
      <c r="B1114" s="55" t="s">
        <v>16</v>
      </c>
      <c r="C1114" s="55" t="s">
        <v>4573</v>
      </c>
      <c r="D1114" s="55" t="s">
        <v>4574</v>
      </c>
      <c r="E1114" s="55" t="s">
        <v>4575</v>
      </c>
      <c r="F1114" s="55" t="s">
        <v>3708</v>
      </c>
      <c r="G1114" s="55" t="s">
        <v>4576</v>
      </c>
      <c r="I1114" s="55" t="s">
        <v>851</v>
      </c>
    </row>
    <row r="1115" customFormat="false" ht="11.25" hidden="false" customHeight="true" outlineLevel="0" collapsed="false">
      <c r="A1115" s="55" t="s">
        <v>2243</v>
      </c>
      <c r="B1115" s="55" t="s">
        <v>16</v>
      </c>
      <c r="C1115" s="55" t="s">
        <v>4577</v>
      </c>
      <c r="D1115" s="55" t="s">
        <v>4578</v>
      </c>
      <c r="E1115" s="55" t="s">
        <v>4579</v>
      </c>
      <c r="F1115" s="55" t="s">
        <v>2347</v>
      </c>
      <c r="I1115" s="55" t="s">
        <v>851</v>
      </c>
    </row>
    <row r="1116" customFormat="false" ht="11.25" hidden="false" customHeight="true" outlineLevel="0" collapsed="false">
      <c r="A1116" s="55" t="s">
        <v>2243</v>
      </c>
      <c r="B1116" s="55" t="s">
        <v>16</v>
      </c>
      <c r="C1116" s="55" t="s">
        <v>3953</v>
      </c>
      <c r="D1116" s="55" t="s">
        <v>3954</v>
      </c>
      <c r="E1116" s="55" t="s">
        <v>3955</v>
      </c>
      <c r="F1116" s="55" t="s">
        <v>2709</v>
      </c>
      <c r="I1116" s="55" t="s">
        <v>851</v>
      </c>
    </row>
    <row r="1117" customFormat="false" ht="11.25" hidden="false" customHeight="true" outlineLevel="0" collapsed="false">
      <c r="A1117" s="55" t="s">
        <v>2243</v>
      </c>
      <c r="B1117" s="55" t="s">
        <v>16</v>
      </c>
      <c r="C1117" s="55" t="s">
        <v>3962</v>
      </c>
      <c r="D1117" s="55" t="s">
        <v>3963</v>
      </c>
      <c r="E1117" s="55" t="s">
        <v>3964</v>
      </c>
      <c r="F1117" s="55" t="s">
        <v>2558</v>
      </c>
      <c r="I1117" s="55" t="s">
        <v>851</v>
      </c>
    </row>
    <row r="1118" customFormat="false" ht="11.25" hidden="false" customHeight="true" outlineLevel="0" collapsed="false">
      <c r="A1118" s="55" t="s">
        <v>2243</v>
      </c>
      <c r="B1118" s="55" t="s">
        <v>16</v>
      </c>
      <c r="C1118" s="55" t="s">
        <v>3968</v>
      </c>
      <c r="D1118" s="55" t="s">
        <v>3969</v>
      </c>
      <c r="E1118" s="55" t="s">
        <v>3970</v>
      </c>
      <c r="F1118" s="55" t="s">
        <v>2329</v>
      </c>
      <c r="I1118" s="55" t="s">
        <v>851</v>
      </c>
    </row>
    <row r="1119" customFormat="false" ht="11.25" hidden="false" customHeight="true" outlineLevel="0" collapsed="false">
      <c r="A1119" s="55" t="s">
        <v>2243</v>
      </c>
      <c r="B1119" s="55" t="s">
        <v>16</v>
      </c>
      <c r="C1119" s="55" t="s">
        <v>3978</v>
      </c>
      <c r="D1119" s="55" t="s">
        <v>3979</v>
      </c>
      <c r="E1119" s="55" t="s">
        <v>3980</v>
      </c>
      <c r="F1119" s="55" t="s">
        <v>3981</v>
      </c>
      <c r="G1119" s="55" t="s">
        <v>3982</v>
      </c>
      <c r="I1119" s="55" t="s">
        <v>851</v>
      </c>
    </row>
    <row r="1120" customFormat="false" ht="11.25" hidden="false" customHeight="true" outlineLevel="0" collapsed="false">
      <c r="A1120" s="55" t="s">
        <v>2243</v>
      </c>
      <c r="B1120" s="55" t="s">
        <v>16</v>
      </c>
      <c r="C1120" s="55" t="s">
        <v>3994</v>
      </c>
      <c r="D1120" s="55" t="s">
        <v>3995</v>
      </c>
      <c r="E1120" s="55" t="s">
        <v>3996</v>
      </c>
      <c r="F1120" s="55" t="s">
        <v>2291</v>
      </c>
      <c r="I1120" s="55" t="s">
        <v>851</v>
      </c>
    </row>
    <row r="1121" customFormat="false" ht="11.25" hidden="false" customHeight="true" outlineLevel="0" collapsed="false">
      <c r="A1121" s="55" t="s">
        <v>2243</v>
      </c>
      <c r="B1121" s="55" t="s">
        <v>16</v>
      </c>
      <c r="C1121" s="55" t="s">
        <v>3997</v>
      </c>
      <c r="D1121" s="55" t="s">
        <v>3998</v>
      </c>
      <c r="E1121" s="55" t="s">
        <v>3999</v>
      </c>
      <c r="F1121" s="55" t="s">
        <v>2291</v>
      </c>
      <c r="I1121" s="55" t="s">
        <v>851</v>
      </c>
    </row>
    <row r="1122" customFormat="false" ht="11.25" hidden="false" customHeight="true" outlineLevel="0" collapsed="false">
      <c r="A1122" s="55" t="s">
        <v>2243</v>
      </c>
      <c r="B1122" s="55" t="s">
        <v>16</v>
      </c>
      <c r="C1122" s="55" t="s">
        <v>4580</v>
      </c>
      <c r="D1122" s="55" t="s">
        <v>4581</v>
      </c>
      <c r="E1122" s="55" t="s">
        <v>4582</v>
      </c>
      <c r="F1122" s="55" t="s">
        <v>2342</v>
      </c>
      <c r="G1122" s="55" t="s">
        <v>4583</v>
      </c>
      <c r="I1122" s="55" t="s">
        <v>851</v>
      </c>
    </row>
    <row r="1123" customFormat="false" ht="11.25" hidden="false" customHeight="true" outlineLevel="0" collapsed="false">
      <c r="A1123" s="55" t="s">
        <v>2243</v>
      </c>
      <c r="B1123" s="55" t="s">
        <v>16</v>
      </c>
      <c r="C1123" s="55" t="s">
        <v>4017</v>
      </c>
      <c r="D1123" s="55" t="s">
        <v>4018</v>
      </c>
      <c r="E1123" s="55" t="s">
        <v>4019</v>
      </c>
      <c r="F1123" s="55" t="s">
        <v>2566</v>
      </c>
      <c r="I1123" s="55" t="s">
        <v>851</v>
      </c>
    </row>
    <row r="1124" customFormat="false" ht="11.25" hidden="false" customHeight="true" outlineLevel="0" collapsed="false">
      <c r="A1124" s="55" t="s">
        <v>2243</v>
      </c>
      <c r="B1124" s="55" t="s">
        <v>16</v>
      </c>
      <c r="C1124" s="55" t="s">
        <v>4020</v>
      </c>
      <c r="D1124" s="55" t="s">
        <v>4021</v>
      </c>
      <c r="E1124" s="55" t="s">
        <v>4022</v>
      </c>
      <c r="F1124" s="55" t="s">
        <v>2757</v>
      </c>
      <c r="I1124" s="55" t="s">
        <v>851</v>
      </c>
    </row>
    <row r="1125" customFormat="false" ht="11.25" hidden="false" customHeight="true" outlineLevel="0" collapsed="false">
      <c r="A1125" s="55" t="s">
        <v>2243</v>
      </c>
      <c r="B1125" s="55" t="s">
        <v>16</v>
      </c>
      <c r="C1125" s="55" t="s">
        <v>4023</v>
      </c>
      <c r="D1125" s="55" t="s">
        <v>4024</v>
      </c>
      <c r="E1125" s="55" t="s">
        <v>4025</v>
      </c>
      <c r="F1125" s="55" t="s">
        <v>3837</v>
      </c>
      <c r="G1125" s="55" t="s">
        <v>4026</v>
      </c>
      <c r="I1125" s="55" t="s">
        <v>851</v>
      </c>
    </row>
    <row r="1126" customFormat="false" ht="11.25" hidden="false" customHeight="true" outlineLevel="0" collapsed="false">
      <c r="A1126" s="55" t="s">
        <v>2243</v>
      </c>
      <c r="B1126" s="55" t="s">
        <v>16</v>
      </c>
      <c r="C1126" s="55" t="s">
        <v>4027</v>
      </c>
      <c r="D1126" s="55" t="s">
        <v>4028</v>
      </c>
      <c r="E1126" s="55" t="s">
        <v>4029</v>
      </c>
      <c r="F1126" s="55" t="s">
        <v>2566</v>
      </c>
      <c r="G1126" s="55" t="s">
        <v>4030</v>
      </c>
      <c r="I1126" s="55" t="s">
        <v>851</v>
      </c>
    </row>
    <row r="1127" customFormat="false" ht="11.25" hidden="false" customHeight="true" outlineLevel="0" collapsed="false">
      <c r="A1127" s="55" t="s">
        <v>2243</v>
      </c>
      <c r="B1127" s="55" t="s">
        <v>16</v>
      </c>
      <c r="C1127" s="55" t="s">
        <v>4031</v>
      </c>
      <c r="D1127" s="55" t="s">
        <v>4032</v>
      </c>
      <c r="E1127" s="55" t="s">
        <v>4033</v>
      </c>
      <c r="F1127" s="55" t="s">
        <v>2301</v>
      </c>
      <c r="I1127" s="55" t="s">
        <v>851</v>
      </c>
    </row>
    <row r="1128" customFormat="false" ht="11.25" hidden="false" customHeight="true" outlineLevel="0" collapsed="false">
      <c r="A1128" s="55" t="s">
        <v>2243</v>
      </c>
      <c r="B1128" s="55" t="s">
        <v>16</v>
      </c>
      <c r="C1128" s="55" t="s">
        <v>4047</v>
      </c>
      <c r="D1128" s="55" t="s">
        <v>4048</v>
      </c>
      <c r="E1128" s="55" t="s">
        <v>4049</v>
      </c>
      <c r="F1128" s="55" t="s">
        <v>2357</v>
      </c>
      <c r="I1128" s="55" t="s">
        <v>851</v>
      </c>
    </row>
    <row r="1129" customFormat="false" ht="11.25" hidden="false" customHeight="true" outlineLevel="0" collapsed="false">
      <c r="A1129" s="55" t="s">
        <v>2243</v>
      </c>
      <c r="B1129" s="55" t="s">
        <v>16</v>
      </c>
      <c r="C1129" s="55" t="s">
        <v>4584</v>
      </c>
      <c r="D1129" s="55" t="s">
        <v>4585</v>
      </c>
      <c r="E1129" s="55" t="s">
        <v>4586</v>
      </c>
      <c r="F1129" s="55" t="s">
        <v>2544</v>
      </c>
      <c r="I1129" s="55" t="s">
        <v>851</v>
      </c>
    </row>
    <row r="1130" customFormat="false" ht="11.25" hidden="false" customHeight="true" outlineLevel="0" collapsed="false">
      <c r="A1130" s="55" t="s">
        <v>2243</v>
      </c>
      <c r="B1130" s="55" t="s">
        <v>16</v>
      </c>
      <c r="C1130" s="55" t="s">
        <v>4063</v>
      </c>
      <c r="D1130" s="55" t="s">
        <v>4064</v>
      </c>
      <c r="E1130" s="55" t="s">
        <v>4065</v>
      </c>
      <c r="F1130" s="55" t="s">
        <v>2309</v>
      </c>
      <c r="G1130" s="55" t="s">
        <v>3177</v>
      </c>
      <c r="I1130" s="55" t="s">
        <v>851</v>
      </c>
    </row>
    <row r="1131" customFormat="false" ht="11.25" hidden="false" customHeight="true" outlineLevel="0" collapsed="false">
      <c r="A1131" s="55" t="s">
        <v>2243</v>
      </c>
      <c r="B1131" s="55" t="s">
        <v>16</v>
      </c>
      <c r="C1131" s="55" t="s">
        <v>4066</v>
      </c>
      <c r="D1131" s="55" t="s">
        <v>4067</v>
      </c>
      <c r="E1131" s="55" t="s">
        <v>4068</v>
      </c>
      <c r="F1131" s="55" t="s">
        <v>2318</v>
      </c>
      <c r="G1131" s="55" t="s">
        <v>4069</v>
      </c>
      <c r="I1131" s="55" t="s">
        <v>851</v>
      </c>
    </row>
    <row r="1132" customFormat="false" ht="11.25" hidden="false" customHeight="true" outlineLevel="0" collapsed="false">
      <c r="A1132" s="55" t="s">
        <v>2243</v>
      </c>
      <c r="B1132" s="55" t="s">
        <v>16</v>
      </c>
      <c r="C1132" s="55" t="s">
        <v>4070</v>
      </c>
      <c r="D1132" s="55" t="s">
        <v>4071</v>
      </c>
      <c r="E1132" s="55" t="s">
        <v>2523</v>
      </c>
      <c r="F1132" s="55" t="s">
        <v>4072</v>
      </c>
      <c r="I1132" s="55" t="s">
        <v>851</v>
      </c>
    </row>
    <row r="1133" customFormat="false" ht="11.25" hidden="false" customHeight="true" outlineLevel="0" collapsed="false">
      <c r="A1133" s="55" t="s">
        <v>2243</v>
      </c>
      <c r="B1133" s="55" t="s">
        <v>16</v>
      </c>
      <c r="C1133" s="55" t="s">
        <v>4073</v>
      </c>
      <c r="D1133" s="55" t="s">
        <v>4074</v>
      </c>
      <c r="E1133" s="55" t="s">
        <v>2523</v>
      </c>
      <c r="F1133" s="55" t="s">
        <v>4075</v>
      </c>
      <c r="I1133" s="55" t="s">
        <v>851</v>
      </c>
    </row>
    <row r="1134" customFormat="false" ht="11.25" hidden="false" customHeight="true" outlineLevel="0" collapsed="false">
      <c r="A1134" s="55" t="s">
        <v>2243</v>
      </c>
      <c r="B1134" s="55" t="s">
        <v>16</v>
      </c>
      <c r="C1134" s="55" t="s">
        <v>4076</v>
      </c>
      <c r="D1134" s="55" t="s">
        <v>4077</v>
      </c>
      <c r="E1134" s="55" t="s">
        <v>4078</v>
      </c>
      <c r="F1134" s="55" t="s">
        <v>2566</v>
      </c>
      <c r="G1134" s="55" t="s">
        <v>4079</v>
      </c>
      <c r="H1134" s="55" t="s">
        <v>4080</v>
      </c>
      <c r="I1134" s="55" t="s">
        <v>851</v>
      </c>
    </row>
    <row r="1135" customFormat="false" ht="11.25" hidden="false" customHeight="true" outlineLevel="0" collapsed="false">
      <c r="A1135" s="55" t="s">
        <v>2243</v>
      </c>
      <c r="B1135" s="55" t="s">
        <v>16</v>
      </c>
      <c r="C1135" s="55" t="s">
        <v>4084</v>
      </c>
      <c r="D1135" s="55" t="s">
        <v>4085</v>
      </c>
      <c r="E1135" s="55" t="s">
        <v>4086</v>
      </c>
      <c r="F1135" s="55" t="s">
        <v>2733</v>
      </c>
      <c r="I1135" s="55" t="s">
        <v>851</v>
      </c>
    </row>
    <row r="1136" customFormat="false" ht="11.25" hidden="false" customHeight="true" outlineLevel="0" collapsed="false">
      <c r="A1136" s="55" t="s">
        <v>2243</v>
      </c>
      <c r="B1136" s="55" t="s">
        <v>16</v>
      </c>
      <c r="C1136" s="55" t="s">
        <v>4087</v>
      </c>
      <c r="D1136" s="55" t="s">
        <v>4088</v>
      </c>
      <c r="E1136" s="55" t="s">
        <v>4089</v>
      </c>
      <c r="F1136" s="55" t="s">
        <v>2347</v>
      </c>
      <c r="G1136" s="55" t="s">
        <v>3693</v>
      </c>
      <c r="I1136" s="55" t="s">
        <v>851</v>
      </c>
    </row>
    <row r="1137" customFormat="false" ht="11.25" hidden="false" customHeight="true" outlineLevel="0" collapsed="false">
      <c r="A1137" s="55" t="s">
        <v>2243</v>
      </c>
      <c r="B1137" s="55" t="s">
        <v>16</v>
      </c>
      <c r="C1137" s="55" t="s">
        <v>4587</v>
      </c>
      <c r="D1137" s="55" t="s">
        <v>4588</v>
      </c>
      <c r="E1137" s="55" t="s">
        <v>4589</v>
      </c>
      <c r="F1137" s="55" t="s">
        <v>2301</v>
      </c>
      <c r="I1137" s="55" t="s">
        <v>851</v>
      </c>
    </row>
    <row r="1138" customFormat="false" ht="11.25" hidden="false" customHeight="true" outlineLevel="0" collapsed="false">
      <c r="A1138" s="55" t="s">
        <v>2243</v>
      </c>
      <c r="B1138" s="55" t="s">
        <v>16</v>
      </c>
      <c r="C1138" s="55" t="s">
        <v>4102</v>
      </c>
      <c r="D1138" s="55" t="s">
        <v>4103</v>
      </c>
      <c r="E1138" s="55" t="s">
        <v>4104</v>
      </c>
      <c r="F1138" s="55" t="s">
        <v>2338</v>
      </c>
      <c r="I1138" s="55" t="s">
        <v>851</v>
      </c>
    </row>
    <row r="1139" customFormat="false" ht="11.25" hidden="false" customHeight="true" outlineLevel="0" collapsed="false">
      <c r="A1139" s="55" t="s">
        <v>2243</v>
      </c>
      <c r="B1139" s="55" t="s">
        <v>16</v>
      </c>
      <c r="C1139" s="55" t="s">
        <v>4105</v>
      </c>
      <c r="D1139" s="55" t="s">
        <v>4106</v>
      </c>
      <c r="E1139" s="55" t="s">
        <v>4107</v>
      </c>
      <c r="F1139" s="55" t="s">
        <v>2309</v>
      </c>
      <c r="I1139" s="55" t="s">
        <v>851</v>
      </c>
    </row>
    <row r="1140" customFormat="false" ht="11.25" hidden="false" customHeight="true" outlineLevel="0" collapsed="false">
      <c r="A1140" s="55" t="s">
        <v>2243</v>
      </c>
      <c r="B1140" s="55" t="s">
        <v>16</v>
      </c>
      <c r="C1140" s="55" t="s">
        <v>4116</v>
      </c>
      <c r="D1140" s="55" t="s">
        <v>4117</v>
      </c>
      <c r="E1140" s="55" t="s">
        <v>4118</v>
      </c>
      <c r="F1140" s="55" t="s">
        <v>4119</v>
      </c>
      <c r="I1140" s="55" t="s">
        <v>851</v>
      </c>
    </row>
    <row r="1141" customFormat="false" ht="11.25" hidden="false" customHeight="true" outlineLevel="0" collapsed="false">
      <c r="A1141" s="55" t="s">
        <v>2243</v>
      </c>
      <c r="B1141" s="55" t="s">
        <v>16</v>
      </c>
      <c r="C1141" s="55" t="s">
        <v>4120</v>
      </c>
      <c r="D1141" s="55" t="s">
        <v>4121</v>
      </c>
      <c r="E1141" s="55" t="s">
        <v>4122</v>
      </c>
      <c r="F1141" s="55" t="s">
        <v>2558</v>
      </c>
      <c r="G1141" s="55" t="s">
        <v>3693</v>
      </c>
      <c r="I1141" s="55" t="s">
        <v>851</v>
      </c>
    </row>
    <row r="1142" customFormat="false" ht="11.25" hidden="false" customHeight="true" outlineLevel="0" collapsed="false">
      <c r="A1142" s="55" t="s">
        <v>2243</v>
      </c>
      <c r="B1142" s="55" t="s">
        <v>16</v>
      </c>
      <c r="C1142" s="55" t="s">
        <v>4127</v>
      </c>
      <c r="D1142" s="55" t="s">
        <v>4128</v>
      </c>
      <c r="E1142" s="55" t="s">
        <v>4129</v>
      </c>
      <c r="F1142" s="55" t="s">
        <v>2371</v>
      </c>
      <c r="I1142" s="55" t="s">
        <v>851</v>
      </c>
    </row>
    <row r="1143" customFormat="false" ht="11.25" hidden="false" customHeight="true" outlineLevel="0" collapsed="false">
      <c r="A1143" s="55" t="s">
        <v>2243</v>
      </c>
      <c r="B1143" s="55" t="s">
        <v>16</v>
      </c>
      <c r="C1143" s="55" t="s">
        <v>4130</v>
      </c>
      <c r="D1143" s="55" t="s">
        <v>4131</v>
      </c>
      <c r="E1143" s="55" t="s">
        <v>4132</v>
      </c>
      <c r="F1143" s="55" t="s">
        <v>2309</v>
      </c>
      <c r="G1143" s="55" t="s">
        <v>4133</v>
      </c>
      <c r="I1143" s="55" t="s">
        <v>851</v>
      </c>
    </row>
    <row r="1144" customFormat="false" ht="11.25" hidden="false" customHeight="true" outlineLevel="0" collapsed="false">
      <c r="A1144" s="55" t="s">
        <v>2243</v>
      </c>
      <c r="B1144" s="55" t="s">
        <v>16</v>
      </c>
      <c r="C1144" s="55" t="s">
        <v>4590</v>
      </c>
      <c r="D1144" s="55" t="s">
        <v>4591</v>
      </c>
      <c r="E1144" s="55" t="s">
        <v>4592</v>
      </c>
      <c r="F1144" s="55" t="s">
        <v>2309</v>
      </c>
      <c r="G1144" s="55" t="s">
        <v>4593</v>
      </c>
      <c r="I1144" s="55" t="s">
        <v>851</v>
      </c>
    </row>
    <row r="1145" customFormat="false" ht="11.25" hidden="false" customHeight="true" outlineLevel="0" collapsed="false">
      <c r="A1145" s="55" t="s">
        <v>2243</v>
      </c>
      <c r="B1145" s="55" t="s">
        <v>16</v>
      </c>
      <c r="C1145" s="55" t="s">
        <v>4137</v>
      </c>
      <c r="D1145" s="55" t="s">
        <v>4138</v>
      </c>
      <c r="E1145" s="55" t="s">
        <v>4139</v>
      </c>
      <c r="F1145" s="55" t="s">
        <v>2357</v>
      </c>
      <c r="I1145" s="55" t="s">
        <v>851</v>
      </c>
    </row>
    <row r="1146" customFormat="false" ht="11.25" hidden="false" customHeight="true" outlineLevel="0" collapsed="false">
      <c r="A1146" s="55" t="s">
        <v>2243</v>
      </c>
      <c r="B1146" s="55" t="s">
        <v>16</v>
      </c>
      <c r="C1146" s="55" t="s">
        <v>4140</v>
      </c>
      <c r="D1146" s="55" t="s">
        <v>4141</v>
      </c>
      <c r="E1146" s="55" t="s">
        <v>4142</v>
      </c>
      <c r="F1146" s="55" t="s">
        <v>2301</v>
      </c>
      <c r="G1146" s="55" t="s">
        <v>4143</v>
      </c>
      <c r="I1146" s="55" t="s">
        <v>851</v>
      </c>
    </row>
    <row r="1147" customFormat="false" ht="11.25" hidden="false" customHeight="true" outlineLevel="0" collapsed="false">
      <c r="A1147" s="55" t="s">
        <v>2243</v>
      </c>
      <c r="B1147" s="55" t="s">
        <v>16</v>
      </c>
      <c r="C1147" s="55" t="s">
        <v>4144</v>
      </c>
      <c r="D1147" s="55" t="s">
        <v>4145</v>
      </c>
      <c r="E1147" s="55" t="s">
        <v>4146</v>
      </c>
      <c r="F1147" s="55" t="s">
        <v>2329</v>
      </c>
      <c r="G1147" s="55" t="s">
        <v>4147</v>
      </c>
      <c r="I1147" s="55" t="s">
        <v>851</v>
      </c>
    </row>
    <row r="1148" customFormat="false" ht="11.25" hidden="false" customHeight="true" outlineLevel="0" collapsed="false">
      <c r="A1148" s="55" t="s">
        <v>2243</v>
      </c>
      <c r="B1148" s="55" t="s">
        <v>16</v>
      </c>
      <c r="C1148" s="55" t="s">
        <v>4148</v>
      </c>
      <c r="D1148" s="55" t="s">
        <v>4149</v>
      </c>
      <c r="E1148" s="55" t="s">
        <v>4150</v>
      </c>
      <c r="F1148" s="55" t="s">
        <v>3130</v>
      </c>
      <c r="G1148" s="55" t="s">
        <v>4151</v>
      </c>
      <c r="I1148" s="55" t="s">
        <v>851</v>
      </c>
    </row>
    <row r="1149" customFormat="false" ht="11.25" hidden="false" customHeight="true" outlineLevel="0" collapsed="false">
      <c r="A1149" s="55" t="s">
        <v>2243</v>
      </c>
      <c r="B1149" s="55" t="s">
        <v>16</v>
      </c>
      <c r="C1149" s="55" t="s">
        <v>4152</v>
      </c>
      <c r="D1149" s="55" t="s">
        <v>4153</v>
      </c>
      <c r="E1149" s="55" t="s">
        <v>4154</v>
      </c>
      <c r="F1149" s="55" t="s">
        <v>4155</v>
      </c>
      <c r="G1149" s="55" t="s">
        <v>4156</v>
      </c>
      <c r="I1149" s="55" t="s">
        <v>851</v>
      </c>
    </row>
    <row r="1150" customFormat="false" ht="11.25" hidden="false" customHeight="true" outlineLevel="0" collapsed="false">
      <c r="A1150" s="55" t="s">
        <v>2243</v>
      </c>
      <c r="B1150" s="55" t="s">
        <v>16</v>
      </c>
      <c r="C1150" s="55" t="s">
        <v>4161</v>
      </c>
      <c r="D1150" s="55" t="s">
        <v>4162</v>
      </c>
      <c r="E1150" s="55" t="s">
        <v>4163</v>
      </c>
      <c r="F1150" s="55" t="s">
        <v>2318</v>
      </c>
      <c r="I1150" s="55" t="s">
        <v>851</v>
      </c>
    </row>
    <row r="1151" customFormat="false" ht="11.25" hidden="false" customHeight="true" outlineLevel="0" collapsed="false">
      <c r="A1151" s="55" t="s">
        <v>2243</v>
      </c>
      <c r="B1151" s="55" t="s">
        <v>16</v>
      </c>
      <c r="C1151" s="55" t="s">
        <v>4164</v>
      </c>
      <c r="D1151" s="55" t="s">
        <v>4165</v>
      </c>
      <c r="E1151" s="55" t="s">
        <v>4129</v>
      </c>
      <c r="F1151" s="55" t="s">
        <v>4166</v>
      </c>
      <c r="I1151" s="55" t="s">
        <v>851</v>
      </c>
    </row>
    <row r="1152" customFormat="false" ht="11.25" hidden="false" customHeight="true" outlineLevel="0" collapsed="false">
      <c r="A1152" s="55" t="s">
        <v>2243</v>
      </c>
      <c r="B1152" s="55" t="s">
        <v>16</v>
      </c>
      <c r="C1152" s="55" t="s">
        <v>4167</v>
      </c>
      <c r="D1152" s="55" t="s">
        <v>4168</v>
      </c>
      <c r="E1152" s="55" t="s">
        <v>4129</v>
      </c>
      <c r="F1152" s="55" t="s">
        <v>2818</v>
      </c>
      <c r="G1152" s="55" t="s">
        <v>4169</v>
      </c>
      <c r="I1152" s="55" t="s">
        <v>851</v>
      </c>
    </row>
    <row r="1153" customFormat="false" ht="11.25" hidden="false" customHeight="true" outlineLevel="0" collapsed="false">
      <c r="A1153" s="55" t="s">
        <v>2243</v>
      </c>
      <c r="B1153" s="55" t="s">
        <v>16</v>
      </c>
      <c r="C1153" s="55" t="s">
        <v>4170</v>
      </c>
      <c r="D1153" s="55" t="s">
        <v>4171</v>
      </c>
      <c r="E1153" s="55" t="s">
        <v>4172</v>
      </c>
      <c r="F1153" s="55" t="s">
        <v>2520</v>
      </c>
      <c r="I1153" s="55" t="s">
        <v>851</v>
      </c>
    </row>
    <row r="1154" customFormat="false" ht="11.25" hidden="false" customHeight="true" outlineLevel="0" collapsed="false">
      <c r="A1154" s="55" t="s">
        <v>2243</v>
      </c>
      <c r="B1154" s="55" t="s">
        <v>16</v>
      </c>
      <c r="D1154" s="55" t="s">
        <v>4173</v>
      </c>
      <c r="E1154" s="55" t="s">
        <v>4174</v>
      </c>
      <c r="F1154" s="55" t="s">
        <v>2371</v>
      </c>
      <c r="I1154" s="55" t="s">
        <v>851</v>
      </c>
    </row>
    <row r="1155" customFormat="false" ht="11.25" hidden="false" customHeight="true" outlineLevel="0" collapsed="false">
      <c r="A1155" s="55" t="s">
        <v>2243</v>
      </c>
      <c r="B1155" s="55" t="s">
        <v>16</v>
      </c>
      <c r="C1155" s="55" t="s">
        <v>4594</v>
      </c>
      <c r="D1155" s="55" t="s">
        <v>4595</v>
      </c>
      <c r="E1155" s="55" t="s">
        <v>4596</v>
      </c>
      <c r="F1155" s="55" t="s">
        <v>4597</v>
      </c>
      <c r="I1155" s="55" t="s">
        <v>851</v>
      </c>
    </row>
    <row r="1156" customFormat="false" ht="11.25" hidden="false" customHeight="true" outlineLevel="0" collapsed="false">
      <c r="A1156" s="55" t="s">
        <v>2243</v>
      </c>
      <c r="B1156" s="55" t="s">
        <v>16</v>
      </c>
      <c r="C1156" s="55" t="s">
        <v>4598</v>
      </c>
      <c r="D1156" s="55" t="s">
        <v>4599</v>
      </c>
      <c r="E1156" s="55" t="s">
        <v>4600</v>
      </c>
      <c r="F1156" s="55" t="s">
        <v>3728</v>
      </c>
      <c r="I1156" s="55" t="s">
        <v>851</v>
      </c>
    </row>
    <row r="1157" customFormat="false" ht="11.25" hidden="false" customHeight="true" outlineLevel="0" collapsed="false">
      <c r="A1157" s="55" t="s">
        <v>2243</v>
      </c>
      <c r="B1157" s="55" t="s">
        <v>16</v>
      </c>
      <c r="C1157" s="55" t="s">
        <v>4175</v>
      </c>
      <c r="D1157" s="55" t="s">
        <v>4176</v>
      </c>
      <c r="E1157" s="55" t="s">
        <v>4177</v>
      </c>
      <c r="F1157" s="55" t="s">
        <v>2274</v>
      </c>
      <c r="G1157" s="55" t="s">
        <v>4178</v>
      </c>
      <c r="I1157" s="55" t="s">
        <v>851</v>
      </c>
    </row>
    <row r="1158" customFormat="false" ht="11.25" hidden="false" customHeight="true" outlineLevel="0" collapsed="false">
      <c r="A1158" s="55" t="s">
        <v>2243</v>
      </c>
      <c r="B1158" s="55" t="s">
        <v>16</v>
      </c>
      <c r="C1158" s="55" t="s">
        <v>4601</v>
      </c>
      <c r="D1158" s="55" t="s">
        <v>4602</v>
      </c>
      <c r="E1158" s="55" t="s">
        <v>4603</v>
      </c>
      <c r="F1158" s="55" t="s">
        <v>3728</v>
      </c>
      <c r="G1158" s="55" t="s">
        <v>4604</v>
      </c>
      <c r="I1158" s="55" t="s">
        <v>851</v>
      </c>
    </row>
    <row r="1159" customFormat="false" ht="11.25" hidden="false" customHeight="true" outlineLevel="0" collapsed="false">
      <c r="A1159" s="55" t="s">
        <v>2243</v>
      </c>
      <c r="B1159" s="55" t="s">
        <v>16</v>
      </c>
      <c r="C1159" s="55" t="s">
        <v>4605</v>
      </c>
      <c r="D1159" s="55" t="s">
        <v>4606</v>
      </c>
      <c r="E1159" s="55" t="s">
        <v>4607</v>
      </c>
      <c r="F1159" s="55" t="s">
        <v>2566</v>
      </c>
      <c r="I1159" s="55" t="s">
        <v>851</v>
      </c>
    </row>
    <row r="1160" customFormat="false" ht="11.25" hidden="false" customHeight="true" outlineLevel="0" collapsed="false">
      <c r="A1160" s="55" t="s">
        <v>2243</v>
      </c>
      <c r="B1160" s="55" t="s">
        <v>16</v>
      </c>
      <c r="C1160" s="55" t="s">
        <v>4608</v>
      </c>
      <c r="D1160" s="55" t="s">
        <v>4609</v>
      </c>
      <c r="E1160" s="55" t="s">
        <v>4610</v>
      </c>
      <c r="F1160" s="55" t="s">
        <v>2898</v>
      </c>
      <c r="I1160" s="55" t="s">
        <v>851</v>
      </c>
    </row>
    <row r="1161" customFormat="false" ht="11.25" hidden="false" customHeight="true" outlineLevel="0" collapsed="false">
      <c r="A1161" s="55" t="s">
        <v>2243</v>
      </c>
      <c r="B1161" s="55" t="s">
        <v>16</v>
      </c>
      <c r="C1161" s="55" t="s">
        <v>4611</v>
      </c>
      <c r="D1161" s="55" t="s">
        <v>4612</v>
      </c>
      <c r="E1161" s="55" t="s">
        <v>4613</v>
      </c>
      <c r="F1161" s="55" t="s">
        <v>2672</v>
      </c>
      <c r="I1161" s="55" t="s">
        <v>851</v>
      </c>
    </row>
    <row r="1162" customFormat="false" ht="11.25" hidden="false" customHeight="true" outlineLevel="0" collapsed="false">
      <c r="A1162" s="55" t="s">
        <v>2243</v>
      </c>
      <c r="B1162" s="55" t="s">
        <v>16</v>
      </c>
      <c r="C1162" s="55" t="s">
        <v>4614</v>
      </c>
      <c r="D1162" s="55" t="s">
        <v>4615</v>
      </c>
      <c r="E1162" s="55" t="s">
        <v>4616</v>
      </c>
      <c r="F1162" s="55" t="s">
        <v>2274</v>
      </c>
      <c r="I1162" s="55" t="s">
        <v>851</v>
      </c>
    </row>
    <row r="1163" customFormat="false" ht="11.25" hidden="false" customHeight="true" outlineLevel="0" collapsed="false">
      <c r="A1163" s="55" t="s">
        <v>2243</v>
      </c>
      <c r="B1163" s="55" t="s">
        <v>16</v>
      </c>
      <c r="C1163" s="55" t="s">
        <v>4617</v>
      </c>
      <c r="D1163" s="55" t="s">
        <v>4618</v>
      </c>
      <c r="E1163" s="55" t="s">
        <v>4619</v>
      </c>
      <c r="F1163" s="55" t="s">
        <v>2894</v>
      </c>
      <c r="I1163" s="55" t="s">
        <v>851</v>
      </c>
    </row>
    <row r="1164" customFormat="false" ht="11.25" hidden="false" customHeight="true" outlineLevel="0" collapsed="false">
      <c r="A1164" s="55" t="s">
        <v>2243</v>
      </c>
      <c r="B1164" s="55" t="s">
        <v>16</v>
      </c>
      <c r="C1164" s="55" t="s">
        <v>4620</v>
      </c>
      <c r="D1164" s="55" t="s">
        <v>4621</v>
      </c>
      <c r="E1164" s="55" t="s">
        <v>4622</v>
      </c>
      <c r="F1164" s="55" t="s">
        <v>2274</v>
      </c>
      <c r="I1164" s="55" t="s">
        <v>851</v>
      </c>
    </row>
    <row r="1165" customFormat="false" ht="11.25" hidden="false" customHeight="true" outlineLevel="0" collapsed="false">
      <c r="A1165" s="55" t="s">
        <v>2243</v>
      </c>
      <c r="B1165" s="55" t="s">
        <v>16</v>
      </c>
      <c r="C1165" s="55" t="s">
        <v>4623</v>
      </c>
      <c r="D1165" s="55" t="s">
        <v>4624</v>
      </c>
      <c r="E1165" s="55" t="s">
        <v>4625</v>
      </c>
      <c r="F1165" s="55" t="s">
        <v>2309</v>
      </c>
      <c r="G1165" s="55" t="s">
        <v>4626</v>
      </c>
      <c r="I1165" s="55" t="s">
        <v>851</v>
      </c>
    </row>
    <row r="1166" customFormat="false" ht="11.25" hidden="false" customHeight="true" outlineLevel="0" collapsed="false">
      <c r="A1166" s="55" t="s">
        <v>2243</v>
      </c>
      <c r="B1166" s="55" t="s">
        <v>16</v>
      </c>
      <c r="C1166" s="55" t="s">
        <v>4194</v>
      </c>
      <c r="D1166" s="55" t="s">
        <v>4195</v>
      </c>
      <c r="E1166" s="55" t="s">
        <v>4196</v>
      </c>
      <c r="F1166" s="55" t="s">
        <v>2247</v>
      </c>
      <c r="G1166" s="55" t="s">
        <v>4197</v>
      </c>
      <c r="I1166" s="55" t="s">
        <v>851</v>
      </c>
    </row>
    <row r="1167" customFormat="false" ht="11.25" hidden="false" customHeight="true" outlineLevel="0" collapsed="false">
      <c r="A1167" s="55" t="s">
        <v>2243</v>
      </c>
      <c r="B1167" s="55" t="s">
        <v>16</v>
      </c>
      <c r="C1167" s="55" t="s">
        <v>4198</v>
      </c>
      <c r="D1167" s="55" t="s">
        <v>4199</v>
      </c>
      <c r="E1167" s="55" t="s">
        <v>4200</v>
      </c>
      <c r="F1167" s="55" t="s">
        <v>4201</v>
      </c>
      <c r="I1167" s="55" t="s">
        <v>851</v>
      </c>
    </row>
    <row r="1168" customFormat="false" ht="11.25" hidden="false" customHeight="true" outlineLevel="0" collapsed="false">
      <c r="A1168" s="55" t="s">
        <v>2243</v>
      </c>
      <c r="B1168" s="55" t="s">
        <v>16</v>
      </c>
      <c r="C1168" s="55" t="s">
        <v>4218</v>
      </c>
      <c r="D1168" s="55" t="s">
        <v>4219</v>
      </c>
      <c r="E1168" s="55" t="s">
        <v>4220</v>
      </c>
      <c r="F1168" s="55" t="s">
        <v>2371</v>
      </c>
      <c r="I1168" s="55" t="s">
        <v>851</v>
      </c>
    </row>
    <row r="1169" customFormat="false" ht="11.25" hidden="false" customHeight="true" outlineLevel="0" collapsed="false">
      <c r="A1169" s="55" t="s">
        <v>2243</v>
      </c>
      <c r="B1169" s="55" t="s">
        <v>16</v>
      </c>
      <c r="C1169" s="55" t="s">
        <v>4228</v>
      </c>
      <c r="D1169" s="55" t="s">
        <v>4229</v>
      </c>
      <c r="E1169" s="55" t="s">
        <v>4230</v>
      </c>
      <c r="F1169" s="55" t="s">
        <v>2371</v>
      </c>
      <c r="I1169" s="55" t="s">
        <v>851</v>
      </c>
    </row>
    <row r="1170" customFormat="false" ht="11.25" hidden="false" customHeight="true" outlineLevel="0" collapsed="false">
      <c r="A1170" s="55" t="s">
        <v>2243</v>
      </c>
      <c r="B1170" s="55" t="s">
        <v>16</v>
      </c>
      <c r="C1170" s="55" t="s">
        <v>4234</v>
      </c>
      <c r="D1170" s="55" t="s">
        <v>4235</v>
      </c>
      <c r="E1170" s="55" t="s">
        <v>4236</v>
      </c>
      <c r="F1170" s="55" t="s">
        <v>2347</v>
      </c>
      <c r="G1170" s="55" t="s">
        <v>4237</v>
      </c>
      <c r="I1170" s="55" t="s">
        <v>851</v>
      </c>
    </row>
    <row r="1171" customFormat="false" ht="11.25" hidden="false" customHeight="true" outlineLevel="0" collapsed="false">
      <c r="A1171" s="55" t="s">
        <v>2243</v>
      </c>
      <c r="B1171" s="55" t="s">
        <v>16</v>
      </c>
      <c r="C1171" s="55" t="s">
        <v>4238</v>
      </c>
      <c r="D1171" s="55" t="s">
        <v>4239</v>
      </c>
      <c r="E1171" s="55" t="s">
        <v>4240</v>
      </c>
      <c r="F1171" s="55" t="s">
        <v>2558</v>
      </c>
      <c r="I1171" s="55" t="s">
        <v>851</v>
      </c>
    </row>
    <row r="1172" customFormat="false" ht="11.25" hidden="false" customHeight="true" outlineLevel="0" collapsed="false">
      <c r="A1172" s="55" t="s">
        <v>2243</v>
      </c>
      <c r="B1172" s="55" t="s">
        <v>16</v>
      </c>
      <c r="C1172" s="55" t="s">
        <v>4627</v>
      </c>
      <c r="D1172" s="55" t="s">
        <v>4628</v>
      </c>
      <c r="E1172" s="55" t="s">
        <v>4629</v>
      </c>
      <c r="F1172" s="55" t="s">
        <v>2278</v>
      </c>
      <c r="I1172" s="55" t="s">
        <v>851</v>
      </c>
    </row>
    <row r="1173" customFormat="false" ht="11.25" hidden="false" customHeight="true" outlineLevel="0" collapsed="false">
      <c r="A1173" s="55" t="s">
        <v>2243</v>
      </c>
      <c r="B1173" s="55" t="s">
        <v>16</v>
      </c>
      <c r="C1173" s="55" t="s">
        <v>4244</v>
      </c>
      <c r="D1173" s="55" t="s">
        <v>4245</v>
      </c>
      <c r="E1173" s="55" t="s">
        <v>4220</v>
      </c>
      <c r="F1173" s="55" t="s">
        <v>2749</v>
      </c>
      <c r="G1173" s="55" t="s">
        <v>4246</v>
      </c>
      <c r="I1173" s="55" t="s">
        <v>851</v>
      </c>
    </row>
    <row r="1174" customFormat="false" ht="11.25" hidden="false" customHeight="true" outlineLevel="0" collapsed="false">
      <c r="A1174" s="55" t="s">
        <v>2243</v>
      </c>
      <c r="B1174" s="55" t="s">
        <v>16</v>
      </c>
      <c r="C1174" s="55" t="s">
        <v>4250</v>
      </c>
      <c r="D1174" s="55" t="s">
        <v>4251</v>
      </c>
      <c r="E1174" s="55" t="s">
        <v>4154</v>
      </c>
      <c r="F1174" s="55" t="s">
        <v>4252</v>
      </c>
      <c r="G1174" s="55" t="s">
        <v>4253</v>
      </c>
      <c r="I1174" s="55" t="s">
        <v>851</v>
      </c>
    </row>
    <row r="1175" customFormat="false" ht="11.25" hidden="false" customHeight="true" outlineLevel="0" collapsed="false">
      <c r="A1175" s="55" t="s">
        <v>2243</v>
      </c>
      <c r="B1175" s="55" t="s">
        <v>16</v>
      </c>
      <c r="C1175" s="55" t="s">
        <v>4254</v>
      </c>
      <c r="D1175" s="55" t="s">
        <v>4255</v>
      </c>
      <c r="E1175" s="55" t="s">
        <v>2557</v>
      </c>
      <c r="F1175" s="55" t="s">
        <v>4256</v>
      </c>
      <c r="I1175" s="55" t="s">
        <v>851</v>
      </c>
    </row>
    <row r="1176" customFormat="false" ht="11.25" hidden="false" customHeight="true" outlineLevel="0" collapsed="false">
      <c r="A1176" s="55" t="s">
        <v>2243</v>
      </c>
      <c r="B1176" s="55" t="s">
        <v>16</v>
      </c>
      <c r="C1176" s="55" t="s">
        <v>4257</v>
      </c>
      <c r="D1176" s="55" t="s">
        <v>4258</v>
      </c>
      <c r="E1176" s="55" t="s">
        <v>2557</v>
      </c>
      <c r="F1176" s="55" t="s">
        <v>2653</v>
      </c>
      <c r="G1176" s="55" t="s">
        <v>4259</v>
      </c>
      <c r="I1176" s="55" t="s">
        <v>851</v>
      </c>
    </row>
    <row r="1177" customFormat="false" ht="11.25" hidden="false" customHeight="true" outlineLevel="0" collapsed="false">
      <c r="A1177" s="55" t="s">
        <v>2243</v>
      </c>
      <c r="B1177" s="55" t="s">
        <v>16</v>
      </c>
      <c r="C1177" s="55" t="s">
        <v>4264</v>
      </c>
      <c r="D1177" s="55" t="s">
        <v>4265</v>
      </c>
      <c r="E1177" s="55" t="s">
        <v>4266</v>
      </c>
      <c r="F1177" s="55" t="s">
        <v>4267</v>
      </c>
      <c r="I1177" s="55" t="s">
        <v>851</v>
      </c>
    </row>
    <row r="1178" customFormat="false" ht="11.25" hidden="false" customHeight="true" outlineLevel="0" collapsed="false">
      <c r="A1178" s="55" t="s">
        <v>2243</v>
      </c>
      <c r="B1178" s="55" t="s">
        <v>16</v>
      </c>
      <c r="C1178" s="55" t="s">
        <v>2244</v>
      </c>
      <c r="D1178" s="55" t="s">
        <v>2245</v>
      </c>
      <c r="E1178" s="55" t="s">
        <v>2246</v>
      </c>
      <c r="F1178" s="55" t="s">
        <v>2247</v>
      </c>
      <c r="G1178" s="55" t="s">
        <v>2248</v>
      </c>
      <c r="I1178" s="55" t="s">
        <v>904</v>
      </c>
    </row>
    <row r="1179" customFormat="false" ht="11.25" hidden="false" customHeight="true" outlineLevel="0" collapsed="false">
      <c r="A1179" s="55" t="s">
        <v>2243</v>
      </c>
      <c r="B1179" s="55" t="s">
        <v>16</v>
      </c>
      <c r="C1179" s="55" t="s">
        <v>4280</v>
      </c>
      <c r="D1179" s="55" t="s">
        <v>4281</v>
      </c>
      <c r="E1179" s="55" t="s">
        <v>4282</v>
      </c>
      <c r="F1179" s="55" t="s">
        <v>2291</v>
      </c>
      <c r="I1179" s="55" t="s">
        <v>904</v>
      </c>
    </row>
    <row r="1180" customFormat="false" ht="11.25" hidden="false" customHeight="true" outlineLevel="0" collapsed="false">
      <c r="A1180" s="55" t="s">
        <v>2243</v>
      </c>
      <c r="B1180" s="55" t="s">
        <v>16</v>
      </c>
      <c r="C1180" s="55" t="s">
        <v>2253</v>
      </c>
      <c r="D1180" s="55" t="s">
        <v>2254</v>
      </c>
      <c r="E1180" s="55" t="s">
        <v>2255</v>
      </c>
      <c r="F1180" s="55" t="s">
        <v>2256</v>
      </c>
      <c r="G1180" s="55" t="s">
        <v>2257</v>
      </c>
      <c r="I1180" s="55" t="s">
        <v>904</v>
      </c>
    </row>
    <row r="1181" customFormat="false" ht="11.25" hidden="false" customHeight="true" outlineLevel="0" collapsed="false">
      <c r="A1181" s="55" t="s">
        <v>2243</v>
      </c>
      <c r="B1181" s="55" t="s">
        <v>16</v>
      </c>
      <c r="C1181" s="55" t="s">
        <v>2262</v>
      </c>
      <c r="D1181" s="55" t="s">
        <v>2263</v>
      </c>
      <c r="E1181" s="55" t="s">
        <v>2264</v>
      </c>
      <c r="F1181" s="55" t="s">
        <v>2265</v>
      </c>
      <c r="I1181" s="55" t="s">
        <v>904</v>
      </c>
    </row>
    <row r="1182" customFormat="false" ht="11.25" hidden="false" customHeight="true" outlineLevel="0" collapsed="false">
      <c r="A1182" s="55" t="s">
        <v>2243</v>
      </c>
      <c r="B1182" s="55" t="s">
        <v>16</v>
      </c>
      <c r="C1182" s="55" t="s">
        <v>2280</v>
      </c>
      <c r="D1182" s="55" t="s">
        <v>2281</v>
      </c>
      <c r="E1182" s="55" t="s">
        <v>2282</v>
      </c>
      <c r="F1182" s="55" t="s">
        <v>2283</v>
      </c>
      <c r="I1182" s="55" t="s">
        <v>904</v>
      </c>
    </row>
    <row r="1183" customFormat="false" ht="11.25" hidden="false" customHeight="true" outlineLevel="0" collapsed="false">
      <c r="A1183" s="55" t="s">
        <v>2243</v>
      </c>
      <c r="B1183" s="55" t="s">
        <v>16</v>
      </c>
      <c r="C1183" s="55" t="s">
        <v>2288</v>
      </c>
      <c r="D1183" s="55" t="s">
        <v>2289</v>
      </c>
      <c r="E1183" s="55" t="s">
        <v>2290</v>
      </c>
      <c r="F1183" s="55" t="s">
        <v>2291</v>
      </c>
      <c r="I1183" s="55" t="s">
        <v>904</v>
      </c>
    </row>
    <row r="1184" customFormat="false" ht="11.25" hidden="false" customHeight="true" outlineLevel="0" collapsed="false">
      <c r="A1184" s="55" t="s">
        <v>2243</v>
      </c>
      <c r="B1184" s="55" t="s">
        <v>16</v>
      </c>
      <c r="C1184" s="55" t="s">
        <v>2299</v>
      </c>
      <c r="D1184" s="55" t="s">
        <v>2300</v>
      </c>
      <c r="E1184" s="55" t="s">
        <v>2297</v>
      </c>
      <c r="F1184" s="55" t="s">
        <v>2301</v>
      </c>
      <c r="G1184" s="55" t="s">
        <v>2302</v>
      </c>
      <c r="I1184" s="55" t="s">
        <v>904</v>
      </c>
    </row>
    <row r="1185" customFormat="false" ht="11.25" hidden="false" customHeight="true" outlineLevel="0" collapsed="false">
      <c r="A1185" s="55" t="s">
        <v>2243</v>
      </c>
      <c r="B1185" s="55" t="s">
        <v>16</v>
      </c>
      <c r="C1185" s="55" t="s">
        <v>2306</v>
      </c>
      <c r="D1185" s="55" t="s">
        <v>2307</v>
      </c>
      <c r="E1185" s="55" t="s">
        <v>2308</v>
      </c>
      <c r="F1185" s="55" t="s">
        <v>2309</v>
      </c>
      <c r="G1185" s="55" t="s">
        <v>2310</v>
      </c>
      <c r="I1185" s="55" t="s">
        <v>904</v>
      </c>
    </row>
    <row r="1186" customFormat="false" ht="11.25" hidden="false" customHeight="true" outlineLevel="0" collapsed="false">
      <c r="A1186" s="55" t="s">
        <v>2243</v>
      </c>
      <c r="B1186" s="55" t="s">
        <v>16</v>
      </c>
      <c r="C1186" s="55" t="s">
        <v>2315</v>
      </c>
      <c r="D1186" s="55" t="s">
        <v>2316</v>
      </c>
      <c r="E1186" s="55" t="s">
        <v>2317</v>
      </c>
      <c r="F1186" s="55" t="s">
        <v>2318</v>
      </c>
      <c r="G1186" s="55" t="s">
        <v>2319</v>
      </c>
      <c r="I1186" s="55" t="s">
        <v>904</v>
      </c>
    </row>
    <row r="1187" customFormat="false" ht="11.25" hidden="false" customHeight="true" outlineLevel="0" collapsed="false">
      <c r="A1187" s="55" t="s">
        <v>2243</v>
      </c>
      <c r="B1187" s="55" t="s">
        <v>16</v>
      </c>
      <c r="C1187" s="55" t="s">
        <v>2320</v>
      </c>
      <c r="D1187" s="55" t="s">
        <v>2321</v>
      </c>
      <c r="E1187" s="55" t="s">
        <v>2322</v>
      </c>
      <c r="F1187" s="55" t="s">
        <v>2247</v>
      </c>
      <c r="I1187" s="55" t="s">
        <v>904</v>
      </c>
    </row>
    <row r="1188" customFormat="false" ht="11.25" hidden="false" customHeight="true" outlineLevel="0" collapsed="false">
      <c r="A1188" s="55" t="s">
        <v>2243</v>
      </c>
      <c r="B1188" s="55" t="s">
        <v>16</v>
      </c>
      <c r="C1188" s="55" t="s">
        <v>2330</v>
      </c>
      <c r="D1188" s="55" t="s">
        <v>2331</v>
      </c>
      <c r="E1188" s="55" t="s">
        <v>2332</v>
      </c>
      <c r="F1188" s="55" t="s">
        <v>2333</v>
      </c>
      <c r="G1188" s="55" t="s">
        <v>2334</v>
      </c>
      <c r="I1188" s="55" t="s">
        <v>904</v>
      </c>
    </row>
    <row r="1189" customFormat="false" ht="11.25" hidden="false" customHeight="true" outlineLevel="0" collapsed="false">
      <c r="A1189" s="55" t="s">
        <v>2243</v>
      </c>
      <c r="B1189" s="55" t="s">
        <v>16</v>
      </c>
      <c r="C1189" s="55" t="s">
        <v>4290</v>
      </c>
      <c r="D1189" s="55" t="s">
        <v>4291</v>
      </c>
      <c r="E1189" s="55" t="s">
        <v>4292</v>
      </c>
      <c r="F1189" s="55" t="s">
        <v>2558</v>
      </c>
      <c r="I1189" s="55" t="s">
        <v>904</v>
      </c>
    </row>
    <row r="1190" customFormat="false" ht="11.25" hidden="false" customHeight="true" outlineLevel="0" collapsed="false">
      <c r="A1190" s="55" t="s">
        <v>2243</v>
      </c>
      <c r="B1190" s="55" t="s">
        <v>16</v>
      </c>
      <c r="C1190" s="55" t="s">
        <v>4293</v>
      </c>
      <c r="D1190" s="55" t="s">
        <v>4294</v>
      </c>
      <c r="E1190" s="55" t="s">
        <v>4295</v>
      </c>
      <c r="F1190" s="55" t="s">
        <v>2333</v>
      </c>
      <c r="G1190" s="55" t="s">
        <v>4296</v>
      </c>
      <c r="I1190" s="55" t="s">
        <v>904</v>
      </c>
    </row>
    <row r="1191" customFormat="false" ht="11.25" hidden="false" customHeight="true" outlineLevel="0" collapsed="false">
      <c r="A1191" s="55" t="s">
        <v>2243</v>
      </c>
      <c r="B1191" s="55" t="s">
        <v>16</v>
      </c>
      <c r="C1191" s="55" t="s">
        <v>2362</v>
      </c>
      <c r="D1191" s="55" t="s">
        <v>2363</v>
      </c>
      <c r="E1191" s="55" t="s">
        <v>2364</v>
      </c>
      <c r="F1191" s="55" t="s">
        <v>2283</v>
      </c>
      <c r="I1191" s="55" t="s">
        <v>904</v>
      </c>
    </row>
    <row r="1192" customFormat="false" ht="11.25" hidden="false" customHeight="true" outlineLevel="0" collapsed="false">
      <c r="A1192" s="55" t="s">
        <v>2243</v>
      </c>
      <c r="B1192" s="55" t="s">
        <v>16</v>
      </c>
      <c r="C1192" s="55" t="s">
        <v>2372</v>
      </c>
      <c r="D1192" s="55" t="s">
        <v>2373</v>
      </c>
      <c r="E1192" s="55" t="s">
        <v>2374</v>
      </c>
      <c r="F1192" s="55" t="s">
        <v>2329</v>
      </c>
      <c r="G1192" s="55" t="s">
        <v>2375</v>
      </c>
      <c r="I1192" s="55" t="s">
        <v>904</v>
      </c>
    </row>
    <row r="1193" customFormat="false" ht="11.25" hidden="false" customHeight="true" outlineLevel="0" collapsed="false">
      <c r="A1193" s="55" t="s">
        <v>2243</v>
      </c>
      <c r="B1193" s="55" t="s">
        <v>16</v>
      </c>
      <c r="C1193" s="55" t="s">
        <v>2376</v>
      </c>
      <c r="D1193" s="55" t="s">
        <v>2377</v>
      </c>
      <c r="E1193" s="55" t="s">
        <v>2378</v>
      </c>
      <c r="F1193" s="55" t="s">
        <v>2318</v>
      </c>
      <c r="G1193" s="55" t="s">
        <v>2379</v>
      </c>
      <c r="I1193" s="55" t="s">
        <v>904</v>
      </c>
    </row>
    <row r="1194" customFormat="false" ht="11.25" hidden="false" customHeight="true" outlineLevel="0" collapsed="false">
      <c r="A1194" s="55" t="s">
        <v>2243</v>
      </c>
      <c r="B1194" s="55" t="s">
        <v>16</v>
      </c>
      <c r="C1194" s="55" t="s">
        <v>2380</v>
      </c>
      <c r="D1194" s="55" t="s">
        <v>2381</v>
      </c>
      <c r="E1194" s="55" t="s">
        <v>2260</v>
      </c>
      <c r="F1194" s="55" t="s">
        <v>2382</v>
      </c>
      <c r="G1194" s="55" t="s">
        <v>2383</v>
      </c>
      <c r="I1194" s="55" t="s">
        <v>904</v>
      </c>
    </row>
    <row r="1195" customFormat="false" ht="11.25" hidden="false" customHeight="true" outlineLevel="0" collapsed="false">
      <c r="A1195" s="55" t="s">
        <v>2243</v>
      </c>
      <c r="B1195" s="55" t="s">
        <v>16</v>
      </c>
      <c r="C1195" s="55" t="s">
        <v>4297</v>
      </c>
      <c r="D1195" s="55" t="s">
        <v>4298</v>
      </c>
      <c r="E1195" s="55" t="s">
        <v>4299</v>
      </c>
      <c r="F1195" s="55" t="s">
        <v>2558</v>
      </c>
      <c r="G1195" s="55" t="s">
        <v>4300</v>
      </c>
      <c r="I1195" s="55" t="s">
        <v>904</v>
      </c>
    </row>
    <row r="1196" customFormat="false" ht="11.25" hidden="false" customHeight="true" outlineLevel="0" collapsed="false">
      <c r="A1196" s="55" t="s">
        <v>2243</v>
      </c>
      <c r="B1196" s="55" t="s">
        <v>16</v>
      </c>
      <c r="C1196" s="55" t="s">
        <v>2389</v>
      </c>
      <c r="D1196" s="55" t="s">
        <v>2390</v>
      </c>
      <c r="E1196" s="55" t="s">
        <v>2391</v>
      </c>
      <c r="F1196" s="55" t="s">
        <v>2387</v>
      </c>
      <c r="G1196" s="55" t="s">
        <v>2392</v>
      </c>
      <c r="I1196" s="55" t="s">
        <v>904</v>
      </c>
    </row>
    <row r="1197" customFormat="false" ht="11.25" hidden="false" customHeight="true" outlineLevel="0" collapsed="false">
      <c r="A1197" s="55" t="s">
        <v>2243</v>
      </c>
      <c r="B1197" s="55" t="s">
        <v>16</v>
      </c>
      <c r="C1197" s="55" t="s">
        <v>2393</v>
      </c>
      <c r="D1197" s="55" t="s">
        <v>2394</v>
      </c>
      <c r="E1197" s="55" t="s">
        <v>2395</v>
      </c>
      <c r="F1197" s="55" t="s">
        <v>2396</v>
      </c>
      <c r="I1197" s="55" t="s">
        <v>904</v>
      </c>
    </row>
    <row r="1198" customFormat="false" ht="11.25" hidden="false" customHeight="true" outlineLevel="0" collapsed="false">
      <c r="A1198" s="55" t="s">
        <v>2243</v>
      </c>
      <c r="B1198" s="55" t="s">
        <v>16</v>
      </c>
      <c r="C1198" s="55" t="s">
        <v>2410</v>
      </c>
      <c r="D1198" s="55" t="s">
        <v>2411</v>
      </c>
      <c r="E1198" s="55" t="s">
        <v>2412</v>
      </c>
      <c r="F1198" s="55" t="s">
        <v>2371</v>
      </c>
      <c r="G1198" s="55" t="s">
        <v>2413</v>
      </c>
      <c r="I1198" s="55" t="s">
        <v>904</v>
      </c>
    </row>
    <row r="1199" customFormat="false" ht="11.25" hidden="false" customHeight="true" outlineLevel="0" collapsed="false">
      <c r="A1199" s="55" t="s">
        <v>2243</v>
      </c>
      <c r="B1199" s="55" t="s">
        <v>16</v>
      </c>
      <c r="C1199" s="55" t="s">
        <v>2429</v>
      </c>
      <c r="D1199" s="55" t="s">
        <v>2430</v>
      </c>
      <c r="E1199" s="55" t="s">
        <v>2412</v>
      </c>
      <c r="F1199" s="55" t="s">
        <v>2431</v>
      </c>
      <c r="I1199" s="55" t="s">
        <v>904</v>
      </c>
    </row>
    <row r="1200" customFormat="false" ht="11.25" hidden="false" customHeight="true" outlineLevel="0" collapsed="false">
      <c r="A1200" s="55" t="s">
        <v>2243</v>
      </c>
      <c r="B1200" s="55" t="s">
        <v>16</v>
      </c>
      <c r="C1200" s="55" t="s">
        <v>2432</v>
      </c>
      <c r="D1200" s="55" t="s">
        <v>2433</v>
      </c>
      <c r="E1200" s="55" t="s">
        <v>2412</v>
      </c>
      <c r="F1200" s="55" t="s">
        <v>2434</v>
      </c>
      <c r="I1200" s="55" t="s">
        <v>904</v>
      </c>
    </row>
    <row r="1201" customFormat="false" ht="11.25" hidden="false" customHeight="true" outlineLevel="0" collapsed="false">
      <c r="A1201" s="55" t="s">
        <v>2243</v>
      </c>
      <c r="B1201" s="55" t="s">
        <v>16</v>
      </c>
      <c r="C1201" s="55" t="s">
        <v>2438</v>
      </c>
      <c r="D1201" s="55" t="s">
        <v>2439</v>
      </c>
      <c r="E1201" s="55" t="s">
        <v>2412</v>
      </c>
      <c r="F1201" s="55" t="s">
        <v>2440</v>
      </c>
      <c r="I1201" s="55" t="s">
        <v>904</v>
      </c>
    </row>
    <row r="1202" customFormat="false" ht="11.25" hidden="false" customHeight="true" outlineLevel="0" collapsed="false">
      <c r="A1202" s="55" t="s">
        <v>2243</v>
      </c>
      <c r="B1202" s="55" t="s">
        <v>16</v>
      </c>
      <c r="C1202" s="55" t="s">
        <v>2453</v>
      </c>
      <c r="D1202" s="55" t="s">
        <v>2454</v>
      </c>
      <c r="E1202" s="55" t="s">
        <v>2455</v>
      </c>
      <c r="F1202" s="55" t="s">
        <v>2309</v>
      </c>
      <c r="G1202" s="55" t="s">
        <v>2456</v>
      </c>
      <c r="I1202" s="55" t="s">
        <v>904</v>
      </c>
    </row>
    <row r="1203" customFormat="false" ht="11.25" hidden="false" customHeight="true" outlineLevel="0" collapsed="false">
      <c r="A1203" s="55" t="s">
        <v>2243</v>
      </c>
      <c r="B1203" s="55" t="s">
        <v>16</v>
      </c>
      <c r="C1203" s="55" t="s">
        <v>4630</v>
      </c>
      <c r="D1203" s="55" t="s">
        <v>4631</v>
      </c>
      <c r="E1203" s="55" t="s">
        <v>4632</v>
      </c>
      <c r="F1203" s="55" t="s">
        <v>2318</v>
      </c>
      <c r="G1203" s="55" t="s">
        <v>4633</v>
      </c>
      <c r="I1203" s="55" t="s">
        <v>904</v>
      </c>
    </row>
    <row r="1204" customFormat="false" ht="11.25" hidden="false" customHeight="true" outlineLevel="0" collapsed="false">
      <c r="A1204" s="55" t="s">
        <v>2243</v>
      </c>
      <c r="B1204" s="55" t="s">
        <v>16</v>
      </c>
      <c r="C1204" s="55" t="s">
        <v>4301</v>
      </c>
      <c r="D1204" s="55" t="s">
        <v>4302</v>
      </c>
      <c r="E1204" s="55" t="s">
        <v>4303</v>
      </c>
      <c r="F1204" s="55" t="s">
        <v>2247</v>
      </c>
      <c r="G1204" s="55" t="s">
        <v>4304</v>
      </c>
      <c r="I1204" s="55" t="s">
        <v>904</v>
      </c>
    </row>
    <row r="1205" customFormat="false" ht="11.25" hidden="false" customHeight="true" outlineLevel="0" collapsed="false">
      <c r="A1205" s="55" t="s">
        <v>2243</v>
      </c>
      <c r="B1205" s="55" t="s">
        <v>16</v>
      </c>
      <c r="C1205" s="55" t="s">
        <v>2460</v>
      </c>
      <c r="D1205" s="55" t="s">
        <v>2461</v>
      </c>
      <c r="E1205" s="55" t="s">
        <v>2462</v>
      </c>
      <c r="F1205" s="55" t="s">
        <v>2247</v>
      </c>
      <c r="I1205" s="55" t="s">
        <v>904</v>
      </c>
    </row>
    <row r="1206" customFormat="false" ht="11.25" hidden="false" customHeight="true" outlineLevel="0" collapsed="false">
      <c r="A1206" s="55" t="s">
        <v>2243</v>
      </c>
      <c r="B1206" s="55" t="s">
        <v>16</v>
      </c>
      <c r="C1206" s="55" t="s">
        <v>2463</v>
      </c>
      <c r="D1206" s="55" t="s">
        <v>2464</v>
      </c>
      <c r="E1206" s="55" t="s">
        <v>2465</v>
      </c>
      <c r="F1206" s="55" t="s">
        <v>2309</v>
      </c>
      <c r="G1206" s="55" t="s">
        <v>2466</v>
      </c>
      <c r="I1206" s="55" t="s">
        <v>904</v>
      </c>
    </row>
    <row r="1207" customFormat="false" ht="11.25" hidden="false" customHeight="true" outlineLevel="0" collapsed="false">
      <c r="A1207" s="55" t="s">
        <v>2243</v>
      </c>
      <c r="B1207" s="55" t="s">
        <v>16</v>
      </c>
      <c r="C1207" s="55" t="s">
        <v>2521</v>
      </c>
      <c r="D1207" s="55" t="s">
        <v>2522</v>
      </c>
      <c r="E1207" s="55" t="s">
        <v>2523</v>
      </c>
      <c r="F1207" s="55" t="s">
        <v>2524</v>
      </c>
      <c r="I1207" s="55" t="s">
        <v>904</v>
      </c>
    </row>
    <row r="1208" customFormat="false" ht="11.25" hidden="false" customHeight="true" outlineLevel="0" collapsed="false">
      <c r="A1208" s="55" t="s">
        <v>2243</v>
      </c>
      <c r="B1208" s="55" t="s">
        <v>16</v>
      </c>
      <c r="C1208" s="55" t="s">
        <v>2532</v>
      </c>
      <c r="D1208" s="55" t="s">
        <v>2533</v>
      </c>
      <c r="E1208" s="55" t="s">
        <v>2534</v>
      </c>
      <c r="F1208" s="55" t="s">
        <v>2470</v>
      </c>
      <c r="I1208" s="55" t="s">
        <v>904</v>
      </c>
    </row>
    <row r="1209" customFormat="false" ht="11.25" hidden="false" customHeight="true" outlineLevel="0" collapsed="false">
      <c r="A1209" s="55" t="s">
        <v>2243</v>
      </c>
      <c r="B1209" s="55" t="s">
        <v>16</v>
      </c>
      <c r="C1209" s="55" t="s">
        <v>2535</v>
      </c>
      <c r="D1209" s="55" t="s">
        <v>2536</v>
      </c>
      <c r="E1209" s="55" t="s">
        <v>2537</v>
      </c>
      <c r="F1209" s="55" t="s">
        <v>2371</v>
      </c>
      <c r="I1209" s="55" t="s">
        <v>904</v>
      </c>
    </row>
    <row r="1210" customFormat="false" ht="11.25" hidden="false" customHeight="true" outlineLevel="0" collapsed="false">
      <c r="A1210" s="55" t="s">
        <v>2243</v>
      </c>
      <c r="B1210" s="55" t="s">
        <v>16</v>
      </c>
      <c r="C1210" s="55" t="s">
        <v>2545</v>
      </c>
      <c r="D1210" s="55" t="s">
        <v>2546</v>
      </c>
      <c r="E1210" s="55" t="s">
        <v>2547</v>
      </c>
      <c r="F1210" s="55" t="s">
        <v>2318</v>
      </c>
      <c r="G1210" s="55" t="s">
        <v>2548</v>
      </c>
      <c r="I1210" s="55" t="s">
        <v>904</v>
      </c>
    </row>
    <row r="1211" customFormat="false" ht="11.25" hidden="false" customHeight="true" outlineLevel="0" collapsed="false">
      <c r="A1211" s="55" t="s">
        <v>2243</v>
      </c>
      <c r="B1211" s="55" t="s">
        <v>16</v>
      </c>
      <c r="C1211" s="55" t="s">
        <v>4305</v>
      </c>
      <c r="D1211" s="55" t="s">
        <v>4306</v>
      </c>
      <c r="E1211" s="55" t="s">
        <v>4307</v>
      </c>
      <c r="F1211" s="55" t="s">
        <v>2558</v>
      </c>
      <c r="I1211" s="55" t="s">
        <v>904</v>
      </c>
    </row>
    <row r="1212" customFormat="false" ht="11.25" hidden="false" customHeight="true" outlineLevel="0" collapsed="false">
      <c r="A1212" s="55" t="s">
        <v>2243</v>
      </c>
      <c r="B1212" s="55" t="s">
        <v>16</v>
      </c>
      <c r="C1212" s="55" t="s">
        <v>2563</v>
      </c>
      <c r="D1212" s="55" t="s">
        <v>2564</v>
      </c>
      <c r="E1212" s="55" t="s">
        <v>2565</v>
      </c>
      <c r="F1212" s="55" t="s">
        <v>2566</v>
      </c>
      <c r="G1212" s="55" t="s">
        <v>2567</v>
      </c>
      <c r="I1212" s="55" t="s">
        <v>904</v>
      </c>
    </row>
    <row r="1213" customFormat="false" ht="11.25" hidden="false" customHeight="true" outlineLevel="0" collapsed="false">
      <c r="A1213" s="55" t="s">
        <v>2243</v>
      </c>
      <c r="B1213" s="55" t="s">
        <v>16</v>
      </c>
      <c r="C1213" s="55" t="s">
        <v>2568</v>
      </c>
      <c r="D1213" s="55" t="s">
        <v>2569</v>
      </c>
      <c r="E1213" s="55" t="s">
        <v>2570</v>
      </c>
      <c r="F1213" s="55" t="s">
        <v>2318</v>
      </c>
      <c r="G1213" s="55" t="s">
        <v>2571</v>
      </c>
      <c r="I1213" s="55" t="s">
        <v>904</v>
      </c>
    </row>
    <row r="1214" customFormat="false" ht="11.25" hidden="false" customHeight="true" outlineLevel="0" collapsed="false">
      <c r="A1214" s="55" t="s">
        <v>2243</v>
      </c>
      <c r="B1214" s="55" t="s">
        <v>16</v>
      </c>
      <c r="C1214" s="55" t="s">
        <v>4634</v>
      </c>
      <c r="D1214" s="55" t="s">
        <v>4635</v>
      </c>
      <c r="E1214" s="55" t="s">
        <v>4636</v>
      </c>
      <c r="F1214" s="55" t="s">
        <v>2247</v>
      </c>
      <c r="I1214" s="55" t="s">
        <v>904</v>
      </c>
    </row>
    <row r="1215" customFormat="false" ht="11.25" hidden="false" customHeight="true" outlineLevel="0" collapsed="false">
      <c r="A1215" s="55" t="s">
        <v>2243</v>
      </c>
      <c r="B1215" s="55" t="s">
        <v>16</v>
      </c>
      <c r="C1215" s="55" t="s">
        <v>2585</v>
      </c>
      <c r="D1215" s="55" t="s">
        <v>2586</v>
      </c>
      <c r="E1215" s="55" t="s">
        <v>2587</v>
      </c>
      <c r="F1215" s="55" t="s">
        <v>2357</v>
      </c>
      <c r="G1215" s="55" t="s">
        <v>2588</v>
      </c>
      <c r="I1215" s="55" t="s">
        <v>904</v>
      </c>
    </row>
    <row r="1216" customFormat="false" ht="11.25" hidden="false" customHeight="true" outlineLevel="0" collapsed="false">
      <c r="A1216" s="55" t="s">
        <v>2243</v>
      </c>
      <c r="B1216" s="55" t="s">
        <v>16</v>
      </c>
      <c r="C1216" s="55" t="s">
        <v>2589</v>
      </c>
      <c r="D1216" s="55" t="s">
        <v>2590</v>
      </c>
      <c r="E1216" s="55" t="s">
        <v>2591</v>
      </c>
      <c r="F1216" s="55" t="s">
        <v>2247</v>
      </c>
      <c r="I1216" s="55" t="s">
        <v>904</v>
      </c>
    </row>
    <row r="1217" customFormat="false" ht="11.25" hidden="false" customHeight="true" outlineLevel="0" collapsed="false">
      <c r="A1217" s="55" t="s">
        <v>2243</v>
      </c>
      <c r="B1217" s="55" t="s">
        <v>16</v>
      </c>
      <c r="C1217" s="55" t="s">
        <v>2601</v>
      </c>
      <c r="D1217" s="55" t="s">
        <v>2602</v>
      </c>
      <c r="E1217" s="55" t="s">
        <v>2603</v>
      </c>
      <c r="F1217" s="55" t="s">
        <v>2329</v>
      </c>
      <c r="I1217" s="55" t="s">
        <v>904</v>
      </c>
    </row>
    <row r="1218" customFormat="false" ht="11.25" hidden="false" customHeight="true" outlineLevel="0" collapsed="false">
      <c r="A1218" s="55" t="s">
        <v>2243</v>
      </c>
      <c r="B1218" s="55" t="s">
        <v>16</v>
      </c>
      <c r="C1218" s="55" t="s">
        <v>2604</v>
      </c>
      <c r="D1218" s="55" t="s">
        <v>2605</v>
      </c>
      <c r="E1218" s="55" t="s">
        <v>2606</v>
      </c>
      <c r="F1218" s="55" t="s">
        <v>2314</v>
      </c>
      <c r="I1218" s="55" t="s">
        <v>904</v>
      </c>
    </row>
    <row r="1219" customFormat="false" ht="11.25" hidden="false" customHeight="true" outlineLevel="0" collapsed="false">
      <c r="A1219" s="55" t="s">
        <v>2243</v>
      </c>
      <c r="B1219" s="55" t="s">
        <v>16</v>
      </c>
      <c r="C1219" s="55" t="s">
        <v>2607</v>
      </c>
      <c r="D1219" s="55" t="s">
        <v>2608</v>
      </c>
      <c r="E1219" s="55" t="s">
        <v>2609</v>
      </c>
      <c r="F1219" s="55" t="s">
        <v>2610</v>
      </c>
      <c r="G1219" s="55" t="s">
        <v>2611</v>
      </c>
      <c r="I1219" s="55" t="s">
        <v>904</v>
      </c>
    </row>
    <row r="1220" customFormat="false" ht="11.25" hidden="false" customHeight="true" outlineLevel="0" collapsed="false">
      <c r="A1220" s="55" t="s">
        <v>2243</v>
      </c>
      <c r="B1220" s="55" t="s">
        <v>16</v>
      </c>
      <c r="C1220" s="55" t="s">
        <v>2615</v>
      </c>
      <c r="D1220" s="55" t="s">
        <v>2616</v>
      </c>
      <c r="E1220" s="55" t="s">
        <v>2617</v>
      </c>
      <c r="F1220" s="55" t="s">
        <v>2618</v>
      </c>
      <c r="I1220" s="55" t="s">
        <v>904</v>
      </c>
    </row>
    <row r="1221" customFormat="false" ht="11.25" hidden="false" customHeight="true" outlineLevel="0" collapsed="false">
      <c r="A1221" s="55" t="s">
        <v>2243</v>
      </c>
      <c r="B1221" s="55" t="s">
        <v>16</v>
      </c>
      <c r="C1221" s="55" t="s">
        <v>2619</v>
      </c>
      <c r="D1221" s="55" t="s">
        <v>2620</v>
      </c>
      <c r="E1221" s="55" t="s">
        <v>2617</v>
      </c>
      <c r="F1221" s="55" t="s">
        <v>2329</v>
      </c>
      <c r="G1221" s="55" t="s">
        <v>2466</v>
      </c>
      <c r="I1221" s="55" t="s">
        <v>904</v>
      </c>
    </row>
    <row r="1222" customFormat="false" ht="11.25" hidden="false" customHeight="true" outlineLevel="0" collapsed="false">
      <c r="A1222" s="55" t="s">
        <v>2243</v>
      </c>
      <c r="B1222" s="55" t="s">
        <v>16</v>
      </c>
      <c r="C1222" s="55" t="s">
        <v>2625</v>
      </c>
      <c r="D1222" s="55" t="s">
        <v>2626</v>
      </c>
      <c r="E1222" s="55" t="s">
        <v>2627</v>
      </c>
      <c r="F1222" s="55" t="s">
        <v>2283</v>
      </c>
      <c r="G1222" s="55" t="s">
        <v>2628</v>
      </c>
      <c r="I1222" s="55" t="s">
        <v>904</v>
      </c>
    </row>
    <row r="1223" customFormat="false" ht="11.25" hidden="false" customHeight="true" outlineLevel="0" collapsed="false">
      <c r="A1223" s="55" t="s">
        <v>2243</v>
      </c>
      <c r="B1223" s="55" t="s">
        <v>16</v>
      </c>
      <c r="C1223" s="55" t="s">
        <v>4637</v>
      </c>
      <c r="D1223" s="55" t="s">
        <v>4638</v>
      </c>
      <c r="E1223" s="55" t="s">
        <v>4639</v>
      </c>
      <c r="F1223" s="55" t="s">
        <v>3912</v>
      </c>
      <c r="I1223" s="55" t="s">
        <v>904</v>
      </c>
    </row>
    <row r="1224" customFormat="false" ht="11.25" hidden="false" customHeight="true" outlineLevel="0" collapsed="false">
      <c r="A1224" s="55" t="s">
        <v>2243</v>
      </c>
      <c r="B1224" s="55" t="s">
        <v>16</v>
      </c>
      <c r="C1224" s="55" t="s">
        <v>4640</v>
      </c>
      <c r="D1224" s="55" t="s">
        <v>4641</v>
      </c>
      <c r="E1224" s="55" t="s">
        <v>4642</v>
      </c>
      <c r="F1224" s="55" t="s">
        <v>2566</v>
      </c>
      <c r="I1224" s="55" t="s">
        <v>904</v>
      </c>
    </row>
    <row r="1225" customFormat="false" ht="11.25" hidden="false" customHeight="true" outlineLevel="0" collapsed="false">
      <c r="A1225" s="55" t="s">
        <v>2243</v>
      </c>
      <c r="B1225" s="55" t="s">
        <v>16</v>
      </c>
      <c r="C1225" s="55" t="s">
        <v>2663</v>
      </c>
      <c r="D1225" s="55" t="s">
        <v>2664</v>
      </c>
      <c r="E1225" s="55" t="s">
        <v>2523</v>
      </c>
      <c r="F1225" s="55" t="s">
        <v>2665</v>
      </c>
      <c r="I1225" s="55" t="s">
        <v>904</v>
      </c>
    </row>
    <row r="1226" customFormat="false" ht="11.25" hidden="false" customHeight="true" outlineLevel="0" collapsed="false">
      <c r="A1226" s="55" t="s">
        <v>2243</v>
      </c>
      <c r="B1226" s="55" t="s">
        <v>16</v>
      </c>
      <c r="C1226" s="55" t="s">
        <v>2676</v>
      </c>
      <c r="D1226" s="55" t="s">
        <v>2677</v>
      </c>
      <c r="E1226" s="55" t="s">
        <v>2678</v>
      </c>
      <c r="F1226" s="55" t="s">
        <v>2672</v>
      </c>
      <c r="I1226" s="55" t="s">
        <v>904</v>
      </c>
    </row>
    <row r="1227" customFormat="false" ht="11.25" hidden="false" customHeight="true" outlineLevel="0" collapsed="false">
      <c r="A1227" s="55" t="s">
        <v>2243</v>
      </c>
      <c r="B1227" s="55" t="s">
        <v>16</v>
      </c>
      <c r="C1227" s="55" t="s">
        <v>4643</v>
      </c>
      <c r="D1227" s="55" t="s">
        <v>4644</v>
      </c>
      <c r="E1227" s="55" t="s">
        <v>4645</v>
      </c>
      <c r="F1227" s="55" t="s">
        <v>2291</v>
      </c>
      <c r="G1227" s="55" t="s">
        <v>4646</v>
      </c>
      <c r="I1227" s="55" t="s">
        <v>904</v>
      </c>
    </row>
    <row r="1228" customFormat="false" ht="11.25" hidden="false" customHeight="true" outlineLevel="0" collapsed="false">
      <c r="A1228" s="55" t="s">
        <v>2243</v>
      </c>
      <c r="B1228" s="55" t="s">
        <v>16</v>
      </c>
      <c r="C1228" s="55" t="s">
        <v>2682</v>
      </c>
      <c r="D1228" s="55" t="s">
        <v>2683</v>
      </c>
      <c r="E1228" s="55" t="s">
        <v>2684</v>
      </c>
      <c r="F1228" s="55" t="s">
        <v>2318</v>
      </c>
      <c r="I1228" s="55" t="s">
        <v>904</v>
      </c>
    </row>
    <row r="1229" customFormat="false" ht="11.25" hidden="false" customHeight="true" outlineLevel="0" collapsed="false">
      <c r="A1229" s="55" t="s">
        <v>2243</v>
      </c>
      <c r="B1229" s="55" t="s">
        <v>16</v>
      </c>
      <c r="C1229" s="55" t="s">
        <v>2685</v>
      </c>
      <c r="D1229" s="55" t="s">
        <v>2686</v>
      </c>
      <c r="E1229" s="55" t="s">
        <v>2687</v>
      </c>
      <c r="F1229" s="55" t="s">
        <v>2247</v>
      </c>
      <c r="G1229" s="55" t="s">
        <v>2688</v>
      </c>
      <c r="I1229" s="55" t="s">
        <v>904</v>
      </c>
    </row>
    <row r="1230" customFormat="false" ht="11.25" hidden="false" customHeight="true" outlineLevel="0" collapsed="false">
      <c r="A1230" s="55" t="s">
        <v>2243</v>
      </c>
      <c r="B1230" s="55" t="s">
        <v>16</v>
      </c>
      <c r="C1230" s="55" t="s">
        <v>2696</v>
      </c>
      <c r="D1230" s="55" t="s">
        <v>2697</v>
      </c>
      <c r="E1230" s="55" t="s">
        <v>2698</v>
      </c>
      <c r="F1230" s="55" t="s">
        <v>2274</v>
      </c>
      <c r="I1230" s="55" t="s">
        <v>904</v>
      </c>
    </row>
    <row r="1231" customFormat="false" ht="11.25" hidden="false" customHeight="true" outlineLevel="0" collapsed="false">
      <c r="A1231" s="55" t="s">
        <v>2243</v>
      </c>
      <c r="B1231" s="55" t="s">
        <v>16</v>
      </c>
      <c r="C1231" s="55" t="s">
        <v>2713</v>
      </c>
      <c r="D1231" s="55" t="s">
        <v>2714</v>
      </c>
      <c r="E1231" s="55" t="s">
        <v>2715</v>
      </c>
      <c r="F1231" s="55" t="s">
        <v>2716</v>
      </c>
      <c r="G1231" s="55" t="s">
        <v>2717</v>
      </c>
      <c r="I1231" s="55" t="s">
        <v>904</v>
      </c>
    </row>
    <row r="1232" customFormat="false" ht="11.25" hidden="false" customHeight="true" outlineLevel="0" collapsed="false">
      <c r="A1232" s="55" t="s">
        <v>2243</v>
      </c>
      <c r="B1232" s="55" t="s">
        <v>16</v>
      </c>
      <c r="C1232" s="55" t="s">
        <v>2734</v>
      </c>
      <c r="D1232" s="55" t="s">
        <v>2735</v>
      </c>
      <c r="E1232" s="55" t="s">
        <v>2736</v>
      </c>
      <c r="F1232" s="55" t="s">
        <v>2291</v>
      </c>
      <c r="I1232" s="55" t="s">
        <v>904</v>
      </c>
    </row>
    <row r="1233" customFormat="false" ht="11.25" hidden="false" customHeight="true" outlineLevel="0" collapsed="false">
      <c r="A1233" s="55" t="s">
        <v>2243</v>
      </c>
      <c r="B1233" s="55" t="s">
        <v>16</v>
      </c>
      <c r="C1233" s="55" t="s">
        <v>4315</v>
      </c>
      <c r="D1233" s="55" t="s">
        <v>4316</v>
      </c>
      <c r="E1233" s="55" t="s">
        <v>4317</v>
      </c>
      <c r="F1233" s="55" t="s">
        <v>2314</v>
      </c>
      <c r="G1233" s="55" t="s">
        <v>4318</v>
      </c>
      <c r="I1233" s="55" t="s">
        <v>904</v>
      </c>
    </row>
    <row r="1234" customFormat="false" ht="11.25" hidden="false" customHeight="true" outlineLevel="0" collapsed="false">
      <c r="A1234" s="55" t="s">
        <v>2243</v>
      </c>
      <c r="B1234" s="55" t="s">
        <v>16</v>
      </c>
      <c r="C1234" s="55" t="s">
        <v>4647</v>
      </c>
      <c r="D1234" s="55" t="s">
        <v>4648</v>
      </c>
      <c r="E1234" s="55" t="s">
        <v>4649</v>
      </c>
      <c r="F1234" s="55" t="s">
        <v>3614</v>
      </c>
      <c r="I1234" s="55" t="s">
        <v>904</v>
      </c>
    </row>
    <row r="1235" customFormat="false" ht="11.25" hidden="false" customHeight="true" outlineLevel="0" collapsed="false">
      <c r="A1235" s="55" t="s">
        <v>2243</v>
      </c>
      <c r="B1235" s="55" t="s">
        <v>16</v>
      </c>
      <c r="C1235" s="55" t="s">
        <v>2754</v>
      </c>
      <c r="D1235" s="55" t="s">
        <v>2755</v>
      </c>
      <c r="E1235" s="55" t="s">
        <v>2756</v>
      </c>
      <c r="F1235" s="55" t="s">
        <v>2757</v>
      </c>
      <c r="I1235" s="55" t="s">
        <v>904</v>
      </c>
    </row>
    <row r="1236" customFormat="false" ht="11.25" hidden="false" customHeight="true" outlineLevel="0" collapsed="false">
      <c r="A1236" s="55" t="s">
        <v>2243</v>
      </c>
      <c r="B1236" s="55" t="s">
        <v>16</v>
      </c>
      <c r="C1236" s="55" t="s">
        <v>2761</v>
      </c>
      <c r="D1236" s="55" t="s">
        <v>2762</v>
      </c>
      <c r="E1236" s="55" t="s">
        <v>2763</v>
      </c>
      <c r="F1236" s="55" t="s">
        <v>2371</v>
      </c>
      <c r="G1236" s="55" t="s">
        <v>2764</v>
      </c>
      <c r="I1236" s="55" t="s">
        <v>904</v>
      </c>
    </row>
    <row r="1237" customFormat="false" ht="11.25" hidden="false" customHeight="true" outlineLevel="0" collapsed="false">
      <c r="A1237" s="55" t="s">
        <v>2243</v>
      </c>
      <c r="B1237" s="55" t="s">
        <v>16</v>
      </c>
      <c r="C1237" s="55" t="s">
        <v>2774</v>
      </c>
      <c r="D1237" s="55" t="s">
        <v>2775</v>
      </c>
      <c r="E1237" s="55" t="s">
        <v>2776</v>
      </c>
      <c r="F1237" s="55" t="s">
        <v>572</v>
      </c>
      <c r="I1237" s="55" t="s">
        <v>904</v>
      </c>
    </row>
    <row r="1238" customFormat="false" ht="11.25" hidden="false" customHeight="true" outlineLevel="0" collapsed="false">
      <c r="A1238" s="55" t="s">
        <v>2243</v>
      </c>
      <c r="B1238" s="55" t="s">
        <v>16</v>
      </c>
      <c r="C1238" s="55" t="s">
        <v>4650</v>
      </c>
      <c r="D1238" s="55" t="s">
        <v>4651</v>
      </c>
      <c r="E1238" s="55" t="s">
        <v>4652</v>
      </c>
      <c r="F1238" s="55" t="s">
        <v>2247</v>
      </c>
      <c r="I1238" s="55" t="s">
        <v>904</v>
      </c>
    </row>
    <row r="1239" customFormat="false" ht="11.25" hidden="false" customHeight="true" outlineLevel="0" collapsed="false">
      <c r="A1239" s="55" t="s">
        <v>2243</v>
      </c>
      <c r="B1239" s="55" t="s">
        <v>16</v>
      </c>
      <c r="C1239" s="55" t="s">
        <v>4329</v>
      </c>
      <c r="D1239" s="55" t="s">
        <v>4330</v>
      </c>
      <c r="E1239" s="55" t="s">
        <v>4331</v>
      </c>
      <c r="F1239" s="55" t="s">
        <v>3130</v>
      </c>
      <c r="I1239" s="55" t="s">
        <v>904</v>
      </c>
    </row>
    <row r="1240" customFormat="false" ht="11.25" hidden="false" customHeight="true" outlineLevel="0" collapsed="false">
      <c r="A1240" s="55" t="s">
        <v>2243</v>
      </c>
      <c r="B1240" s="55" t="s">
        <v>16</v>
      </c>
      <c r="C1240" s="55" t="s">
        <v>2828</v>
      </c>
      <c r="D1240" s="55" t="s">
        <v>2829</v>
      </c>
      <c r="E1240" s="55" t="s">
        <v>2830</v>
      </c>
      <c r="F1240" s="55" t="s">
        <v>2566</v>
      </c>
      <c r="I1240" s="55" t="s">
        <v>904</v>
      </c>
    </row>
    <row r="1241" customFormat="false" ht="11.25" hidden="false" customHeight="true" outlineLevel="0" collapsed="false">
      <c r="A1241" s="55" t="s">
        <v>2243</v>
      </c>
      <c r="B1241" s="55" t="s">
        <v>16</v>
      </c>
      <c r="C1241" s="55" t="s">
        <v>4335</v>
      </c>
      <c r="D1241" s="55" t="s">
        <v>4336</v>
      </c>
      <c r="E1241" s="55" t="s">
        <v>4337</v>
      </c>
      <c r="F1241" s="55" t="s">
        <v>2347</v>
      </c>
      <c r="I1241" s="55" t="s">
        <v>904</v>
      </c>
    </row>
    <row r="1242" customFormat="false" ht="11.25" hidden="false" customHeight="true" outlineLevel="0" collapsed="false">
      <c r="A1242" s="55" t="s">
        <v>2243</v>
      </c>
      <c r="B1242" s="55" t="s">
        <v>16</v>
      </c>
      <c r="C1242" s="55" t="s">
        <v>4338</v>
      </c>
      <c r="D1242" s="55" t="s">
        <v>4339</v>
      </c>
      <c r="E1242" s="55" t="s">
        <v>4340</v>
      </c>
      <c r="F1242" s="55" t="s">
        <v>2338</v>
      </c>
      <c r="I1242" s="55" t="s">
        <v>904</v>
      </c>
    </row>
    <row r="1243" customFormat="false" ht="11.25" hidden="false" customHeight="true" outlineLevel="0" collapsed="false">
      <c r="A1243" s="55" t="s">
        <v>2243</v>
      </c>
      <c r="B1243" s="55" t="s">
        <v>16</v>
      </c>
      <c r="C1243" s="55" t="s">
        <v>4341</v>
      </c>
      <c r="D1243" s="55" t="s">
        <v>4342</v>
      </c>
      <c r="E1243" s="55" t="s">
        <v>4343</v>
      </c>
      <c r="F1243" s="55" t="s">
        <v>2347</v>
      </c>
      <c r="I1243" s="55" t="s">
        <v>904</v>
      </c>
    </row>
    <row r="1244" customFormat="false" ht="11.25" hidden="false" customHeight="true" outlineLevel="0" collapsed="false">
      <c r="A1244" s="55" t="s">
        <v>2243</v>
      </c>
      <c r="B1244" s="55" t="s">
        <v>16</v>
      </c>
      <c r="C1244" s="55" t="s">
        <v>4653</v>
      </c>
      <c r="D1244" s="55" t="s">
        <v>4654</v>
      </c>
      <c r="E1244" s="55" t="s">
        <v>4655</v>
      </c>
      <c r="F1244" s="55" t="s">
        <v>2333</v>
      </c>
      <c r="I1244" s="55" t="s">
        <v>904</v>
      </c>
    </row>
    <row r="1245" customFormat="false" ht="11.25" hidden="false" customHeight="true" outlineLevel="0" collapsed="false">
      <c r="A1245" s="55" t="s">
        <v>2243</v>
      </c>
      <c r="B1245" s="55" t="s">
        <v>16</v>
      </c>
      <c r="C1245" s="55" t="s">
        <v>4344</v>
      </c>
      <c r="D1245" s="55" t="s">
        <v>4345</v>
      </c>
      <c r="E1245" s="55" t="s">
        <v>4346</v>
      </c>
      <c r="F1245" s="55" t="s">
        <v>2387</v>
      </c>
      <c r="I1245" s="55" t="s">
        <v>904</v>
      </c>
    </row>
    <row r="1246" customFormat="false" ht="11.25" hidden="false" customHeight="true" outlineLevel="0" collapsed="false">
      <c r="A1246" s="55" t="s">
        <v>2243</v>
      </c>
      <c r="B1246" s="55" t="s">
        <v>16</v>
      </c>
      <c r="C1246" s="55" t="s">
        <v>4656</v>
      </c>
      <c r="D1246" s="55" t="s">
        <v>4657</v>
      </c>
      <c r="E1246" s="55" t="s">
        <v>4658</v>
      </c>
      <c r="F1246" s="55" t="s">
        <v>2333</v>
      </c>
      <c r="I1246" s="55" t="s">
        <v>904</v>
      </c>
    </row>
    <row r="1247" customFormat="false" ht="11.25" hidden="false" customHeight="true" outlineLevel="0" collapsed="false">
      <c r="A1247" s="55" t="s">
        <v>2243</v>
      </c>
      <c r="B1247" s="55" t="s">
        <v>16</v>
      </c>
      <c r="C1247" s="55" t="s">
        <v>2831</v>
      </c>
      <c r="D1247" s="55" t="s">
        <v>2832</v>
      </c>
      <c r="E1247" s="55" t="s">
        <v>2833</v>
      </c>
      <c r="F1247" s="55" t="s">
        <v>2283</v>
      </c>
      <c r="I1247" s="55" t="s">
        <v>904</v>
      </c>
    </row>
    <row r="1248" customFormat="false" ht="11.25" hidden="false" customHeight="true" outlineLevel="0" collapsed="false">
      <c r="A1248" s="55" t="s">
        <v>2243</v>
      </c>
      <c r="B1248" s="55" t="s">
        <v>16</v>
      </c>
      <c r="C1248" s="55" t="s">
        <v>4350</v>
      </c>
      <c r="D1248" s="55" t="s">
        <v>4351</v>
      </c>
      <c r="E1248" s="55" t="s">
        <v>4352</v>
      </c>
      <c r="F1248" s="55" t="s">
        <v>2672</v>
      </c>
      <c r="I1248" s="55" t="s">
        <v>904</v>
      </c>
    </row>
    <row r="1249" customFormat="false" ht="11.25" hidden="false" customHeight="true" outlineLevel="0" collapsed="false">
      <c r="A1249" s="55" t="s">
        <v>2243</v>
      </c>
      <c r="B1249" s="55" t="s">
        <v>16</v>
      </c>
      <c r="C1249" s="55" t="s">
        <v>4353</v>
      </c>
      <c r="D1249" s="55" t="s">
        <v>4354</v>
      </c>
      <c r="E1249" s="55" t="s">
        <v>4355</v>
      </c>
      <c r="F1249" s="55" t="s">
        <v>2342</v>
      </c>
      <c r="I1249" s="55" t="s">
        <v>904</v>
      </c>
    </row>
    <row r="1250" customFormat="false" ht="11.25" hidden="false" customHeight="true" outlineLevel="0" collapsed="false">
      <c r="A1250" s="55" t="s">
        <v>2243</v>
      </c>
      <c r="B1250" s="55" t="s">
        <v>16</v>
      </c>
      <c r="C1250" s="55" t="s">
        <v>2840</v>
      </c>
      <c r="D1250" s="55" t="s">
        <v>2841</v>
      </c>
      <c r="E1250" s="55" t="s">
        <v>2842</v>
      </c>
      <c r="F1250" s="55" t="s">
        <v>2283</v>
      </c>
      <c r="I1250" s="55" t="s">
        <v>904</v>
      </c>
    </row>
    <row r="1251" customFormat="false" ht="11.25" hidden="false" customHeight="true" outlineLevel="0" collapsed="false">
      <c r="A1251" s="55" t="s">
        <v>2243</v>
      </c>
      <c r="B1251" s="55" t="s">
        <v>16</v>
      </c>
      <c r="C1251" s="55" t="s">
        <v>2843</v>
      </c>
      <c r="D1251" s="55" t="s">
        <v>2844</v>
      </c>
      <c r="E1251" s="55" t="s">
        <v>2845</v>
      </c>
      <c r="F1251" s="55" t="s">
        <v>2283</v>
      </c>
      <c r="I1251" s="55" t="s">
        <v>904</v>
      </c>
    </row>
    <row r="1252" customFormat="false" ht="11.25" hidden="false" customHeight="true" outlineLevel="0" collapsed="false">
      <c r="A1252" s="55" t="s">
        <v>2243</v>
      </c>
      <c r="B1252" s="55" t="s">
        <v>16</v>
      </c>
      <c r="C1252" s="55" t="s">
        <v>4356</v>
      </c>
      <c r="D1252" s="55" t="s">
        <v>4357</v>
      </c>
      <c r="E1252" s="55" t="s">
        <v>4358</v>
      </c>
      <c r="F1252" s="55" t="s">
        <v>2283</v>
      </c>
      <c r="I1252" s="55" t="s">
        <v>904</v>
      </c>
    </row>
    <row r="1253" customFormat="false" ht="11.25" hidden="false" customHeight="true" outlineLevel="0" collapsed="false">
      <c r="A1253" s="55" t="s">
        <v>2243</v>
      </c>
      <c r="B1253" s="55" t="s">
        <v>16</v>
      </c>
      <c r="C1253" s="55" t="s">
        <v>4359</v>
      </c>
      <c r="D1253" s="55" t="s">
        <v>4360</v>
      </c>
      <c r="E1253" s="55" t="s">
        <v>4361</v>
      </c>
      <c r="F1253" s="55" t="s">
        <v>2342</v>
      </c>
      <c r="I1253" s="55" t="s">
        <v>904</v>
      </c>
    </row>
    <row r="1254" customFormat="false" ht="11.25" hidden="false" customHeight="true" outlineLevel="0" collapsed="false">
      <c r="A1254" s="55" t="s">
        <v>2243</v>
      </c>
      <c r="B1254" s="55" t="s">
        <v>16</v>
      </c>
      <c r="C1254" s="55" t="s">
        <v>4362</v>
      </c>
      <c r="D1254" s="55" t="s">
        <v>4363</v>
      </c>
      <c r="E1254" s="55" t="s">
        <v>4364</v>
      </c>
      <c r="F1254" s="55" t="s">
        <v>2342</v>
      </c>
      <c r="I1254" s="55" t="s">
        <v>904</v>
      </c>
    </row>
    <row r="1255" customFormat="false" ht="11.25" hidden="false" customHeight="true" outlineLevel="0" collapsed="false">
      <c r="A1255" s="55" t="s">
        <v>2243</v>
      </c>
      <c r="B1255" s="55" t="s">
        <v>16</v>
      </c>
      <c r="C1255" s="55" t="s">
        <v>2864</v>
      </c>
      <c r="D1255" s="55" t="s">
        <v>2865</v>
      </c>
      <c r="E1255" s="55" t="s">
        <v>2866</v>
      </c>
      <c r="F1255" s="55" t="s">
        <v>2347</v>
      </c>
      <c r="I1255" s="55" t="s">
        <v>904</v>
      </c>
    </row>
    <row r="1256" customFormat="false" ht="11.25" hidden="false" customHeight="true" outlineLevel="0" collapsed="false">
      <c r="A1256" s="55" t="s">
        <v>2243</v>
      </c>
      <c r="B1256" s="55" t="s">
        <v>16</v>
      </c>
      <c r="C1256" s="55" t="s">
        <v>4365</v>
      </c>
      <c r="D1256" s="55" t="s">
        <v>4366</v>
      </c>
      <c r="E1256" s="55" t="s">
        <v>4367</v>
      </c>
      <c r="F1256" s="55" t="s">
        <v>2566</v>
      </c>
      <c r="I1256" s="55" t="s">
        <v>904</v>
      </c>
    </row>
    <row r="1257" customFormat="false" ht="11.25" hidden="false" customHeight="true" outlineLevel="0" collapsed="false">
      <c r="A1257" s="55" t="s">
        <v>2243</v>
      </c>
      <c r="B1257" s="55" t="s">
        <v>16</v>
      </c>
      <c r="C1257" s="55" t="s">
        <v>2867</v>
      </c>
      <c r="D1257" s="55" t="s">
        <v>2868</v>
      </c>
      <c r="E1257" s="55" t="s">
        <v>2869</v>
      </c>
      <c r="F1257" s="55" t="s">
        <v>2716</v>
      </c>
      <c r="G1257" s="55" t="s">
        <v>2870</v>
      </c>
      <c r="I1257" s="55" t="s">
        <v>904</v>
      </c>
    </row>
    <row r="1258" customFormat="false" ht="11.25" hidden="false" customHeight="true" outlineLevel="0" collapsed="false">
      <c r="A1258" s="55" t="s">
        <v>2243</v>
      </c>
      <c r="B1258" s="55" t="s">
        <v>16</v>
      </c>
      <c r="C1258" s="55" t="s">
        <v>4368</v>
      </c>
      <c r="D1258" s="55" t="s">
        <v>4369</v>
      </c>
      <c r="E1258" s="55" t="s">
        <v>4370</v>
      </c>
      <c r="F1258" s="55" t="s">
        <v>2566</v>
      </c>
      <c r="I1258" s="55" t="s">
        <v>904</v>
      </c>
    </row>
    <row r="1259" customFormat="false" ht="11.25" hidden="false" customHeight="true" outlineLevel="0" collapsed="false">
      <c r="A1259" s="55" t="s">
        <v>2243</v>
      </c>
      <c r="B1259" s="55" t="s">
        <v>16</v>
      </c>
      <c r="C1259" s="55" t="s">
        <v>4371</v>
      </c>
      <c r="D1259" s="55" t="s">
        <v>4372</v>
      </c>
      <c r="E1259" s="55" t="s">
        <v>4373</v>
      </c>
      <c r="F1259" s="55" t="s">
        <v>2329</v>
      </c>
      <c r="I1259" s="55" t="s">
        <v>904</v>
      </c>
    </row>
    <row r="1260" customFormat="false" ht="11.25" hidden="false" customHeight="true" outlineLevel="0" collapsed="false">
      <c r="A1260" s="55" t="s">
        <v>2243</v>
      </c>
      <c r="B1260" s="55" t="s">
        <v>16</v>
      </c>
      <c r="C1260" s="55" t="s">
        <v>2874</v>
      </c>
      <c r="D1260" s="55" t="s">
        <v>2875</v>
      </c>
      <c r="E1260" s="55" t="s">
        <v>2876</v>
      </c>
      <c r="F1260" s="55" t="s">
        <v>2558</v>
      </c>
      <c r="I1260" s="55" t="s">
        <v>904</v>
      </c>
    </row>
    <row r="1261" customFormat="false" ht="11.25" hidden="false" customHeight="true" outlineLevel="0" collapsed="false">
      <c r="A1261" s="55" t="s">
        <v>2243</v>
      </c>
      <c r="B1261" s="55" t="s">
        <v>16</v>
      </c>
      <c r="C1261" s="55" t="s">
        <v>4374</v>
      </c>
      <c r="D1261" s="55" t="s">
        <v>4375</v>
      </c>
      <c r="E1261" s="55" t="s">
        <v>4376</v>
      </c>
      <c r="F1261" s="55" t="s">
        <v>2338</v>
      </c>
      <c r="I1261" s="55" t="s">
        <v>904</v>
      </c>
    </row>
    <row r="1262" customFormat="false" ht="11.25" hidden="false" customHeight="true" outlineLevel="0" collapsed="false">
      <c r="A1262" s="55" t="s">
        <v>2243</v>
      </c>
      <c r="B1262" s="55" t="s">
        <v>16</v>
      </c>
      <c r="C1262" s="55" t="s">
        <v>2877</v>
      </c>
      <c r="D1262" s="55" t="s">
        <v>2878</v>
      </c>
      <c r="E1262" s="55" t="s">
        <v>2879</v>
      </c>
      <c r="F1262" s="55" t="s">
        <v>2283</v>
      </c>
      <c r="I1262" s="55" t="s">
        <v>904</v>
      </c>
    </row>
    <row r="1263" customFormat="false" ht="11.25" hidden="false" customHeight="true" outlineLevel="0" collapsed="false">
      <c r="A1263" s="55" t="s">
        <v>2243</v>
      </c>
      <c r="B1263" s="55" t="s">
        <v>16</v>
      </c>
      <c r="C1263" s="55" t="s">
        <v>4377</v>
      </c>
      <c r="D1263" s="55" t="s">
        <v>4378</v>
      </c>
      <c r="E1263" s="55" t="s">
        <v>4379</v>
      </c>
      <c r="F1263" s="55" t="s">
        <v>3130</v>
      </c>
      <c r="I1263" s="55" t="s">
        <v>904</v>
      </c>
    </row>
    <row r="1264" customFormat="false" ht="11.25" hidden="false" customHeight="true" outlineLevel="0" collapsed="false">
      <c r="A1264" s="55" t="s">
        <v>2243</v>
      </c>
      <c r="B1264" s="55" t="s">
        <v>16</v>
      </c>
      <c r="C1264" s="55" t="s">
        <v>4383</v>
      </c>
      <c r="D1264" s="55" t="s">
        <v>4384</v>
      </c>
      <c r="E1264" s="55" t="s">
        <v>4385</v>
      </c>
      <c r="F1264" s="55" t="s">
        <v>2274</v>
      </c>
      <c r="I1264" s="55" t="s">
        <v>904</v>
      </c>
    </row>
    <row r="1265" customFormat="false" ht="11.25" hidden="false" customHeight="true" outlineLevel="0" collapsed="false">
      <c r="A1265" s="55" t="s">
        <v>2243</v>
      </c>
      <c r="B1265" s="55" t="s">
        <v>16</v>
      </c>
      <c r="C1265" s="55" t="s">
        <v>4386</v>
      </c>
      <c r="D1265" s="55" t="s">
        <v>4387</v>
      </c>
      <c r="E1265" s="55" t="s">
        <v>4388</v>
      </c>
      <c r="F1265" s="55" t="s">
        <v>2347</v>
      </c>
      <c r="I1265" s="55" t="s">
        <v>904</v>
      </c>
    </row>
    <row r="1266" customFormat="false" ht="11.25" hidden="false" customHeight="true" outlineLevel="0" collapsed="false">
      <c r="A1266" s="55" t="s">
        <v>2243</v>
      </c>
      <c r="B1266" s="55" t="s">
        <v>16</v>
      </c>
      <c r="C1266" s="55" t="s">
        <v>4659</v>
      </c>
      <c r="D1266" s="55" t="s">
        <v>4660</v>
      </c>
      <c r="E1266" s="55" t="s">
        <v>4661</v>
      </c>
      <c r="F1266" s="55" t="s">
        <v>3130</v>
      </c>
      <c r="I1266" s="55" t="s">
        <v>904</v>
      </c>
    </row>
    <row r="1267" customFormat="false" ht="11.25" hidden="false" customHeight="true" outlineLevel="0" collapsed="false">
      <c r="A1267" s="55" t="s">
        <v>2243</v>
      </c>
      <c r="B1267" s="55" t="s">
        <v>16</v>
      </c>
      <c r="C1267" s="55" t="s">
        <v>2880</v>
      </c>
      <c r="D1267" s="55" t="s">
        <v>2881</v>
      </c>
      <c r="E1267" s="55" t="s">
        <v>2882</v>
      </c>
      <c r="F1267" s="55" t="s">
        <v>2274</v>
      </c>
      <c r="I1267" s="55" t="s">
        <v>904</v>
      </c>
    </row>
    <row r="1268" customFormat="false" ht="11.25" hidden="false" customHeight="true" outlineLevel="0" collapsed="false">
      <c r="A1268" s="55" t="s">
        <v>2243</v>
      </c>
      <c r="B1268" s="55" t="s">
        <v>16</v>
      </c>
      <c r="C1268" s="55" t="s">
        <v>4662</v>
      </c>
      <c r="D1268" s="55" t="s">
        <v>4663</v>
      </c>
      <c r="E1268" s="55" t="s">
        <v>4664</v>
      </c>
      <c r="F1268" s="55" t="s">
        <v>2566</v>
      </c>
      <c r="I1268" s="55" t="s">
        <v>904</v>
      </c>
    </row>
    <row r="1269" customFormat="false" ht="11.25" hidden="false" customHeight="true" outlineLevel="0" collapsed="false">
      <c r="A1269" s="55" t="s">
        <v>2243</v>
      </c>
      <c r="B1269" s="55" t="s">
        <v>16</v>
      </c>
      <c r="C1269" s="55" t="s">
        <v>4389</v>
      </c>
      <c r="D1269" s="55" t="s">
        <v>4390</v>
      </c>
      <c r="E1269" s="55" t="s">
        <v>4391</v>
      </c>
      <c r="F1269" s="55" t="s">
        <v>2309</v>
      </c>
      <c r="I1269" s="55" t="s">
        <v>904</v>
      </c>
    </row>
    <row r="1270" customFormat="false" ht="11.25" hidden="false" customHeight="true" outlineLevel="0" collapsed="false">
      <c r="A1270" s="55" t="s">
        <v>2243</v>
      </c>
      <c r="B1270" s="55" t="s">
        <v>16</v>
      </c>
      <c r="C1270" s="55" t="s">
        <v>2907</v>
      </c>
      <c r="D1270" s="55" t="s">
        <v>2908</v>
      </c>
      <c r="E1270" s="55" t="s">
        <v>2909</v>
      </c>
      <c r="F1270" s="55" t="s">
        <v>2672</v>
      </c>
      <c r="G1270" s="55" t="s">
        <v>2910</v>
      </c>
      <c r="I1270" s="55" t="s">
        <v>904</v>
      </c>
    </row>
    <row r="1271" customFormat="false" ht="11.25" hidden="false" customHeight="true" outlineLevel="0" collapsed="false">
      <c r="A1271" s="55" t="s">
        <v>2243</v>
      </c>
      <c r="B1271" s="55" t="s">
        <v>16</v>
      </c>
      <c r="C1271" s="55" t="s">
        <v>2927</v>
      </c>
      <c r="D1271" s="55" t="s">
        <v>2928</v>
      </c>
      <c r="E1271" s="55" t="s">
        <v>2929</v>
      </c>
      <c r="F1271" s="55" t="s">
        <v>2333</v>
      </c>
      <c r="G1271" s="55" t="s">
        <v>2930</v>
      </c>
      <c r="I1271" s="55" t="s">
        <v>904</v>
      </c>
    </row>
    <row r="1272" customFormat="false" ht="11.25" hidden="false" customHeight="true" outlineLevel="0" collapsed="false">
      <c r="A1272" s="55" t="s">
        <v>2243</v>
      </c>
      <c r="B1272" s="55" t="s">
        <v>16</v>
      </c>
      <c r="C1272" s="55" t="s">
        <v>4395</v>
      </c>
      <c r="D1272" s="55" t="s">
        <v>4396</v>
      </c>
      <c r="E1272" s="55" t="s">
        <v>4397</v>
      </c>
      <c r="F1272" s="55" t="s">
        <v>2387</v>
      </c>
      <c r="I1272" s="55" t="s">
        <v>904</v>
      </c>
    </row>
    <row r="1273" customFormat="false" ht="11.25" hidden="false" customHeight="true" outlineLevel="0" collapsed="false">
      <c r="A1273" s="55" t="s">
        <v>2243</v>
      </c>
      <c r="B1273" s="55" t="s">
        <v>16</v>
      </c>
      <c r="C1273" s="55" t="s">
        <v>2931</v>
      </c>
      <c r="D1273" s="55" t="s">
        <v>2932</v>
      </c>
      <c r="E1273" s="55" t="s">
        <v>2933</v>
      </c>
      <c r="F1273" s="55" t="s">
        <v>2333</v>
      </c>
      <c r="I1273" s="55" t="s">
        <v>904</v>
      </c>
    </row>
    <row r="1274" customFormat="false" ht="11.25" hidden="false" customHeight="true" outlineLevel="0" collapsed="false">
      <c r="A1274" s="55" t="s">
        <v>2243</v>
      </c>
      <c r="B1274" s="55" t="s">
        <v>16</v>
      </c>
      <c r="C1274" s="55" t="s">
        <v>4398</v>
      </c>
      <c r="D1274" s="55" t="s">
        <v>4399</v>
      </c>
      <c r="E1274" s="55" t="s">
        <v>4400</v>
      </c>
      <c r="F1274" s="55" t="s">
        <v>2672</v>
      </c>
      <c r="I1274" s="55" t="s">
        <v>904</v>
      </c>
    </row>
    <row r="1275" customFormat="false" ht="11.25" hidden="false" customHeight="true" outlineLevel="0" collapsed="false">
      <c r="A1275" s="55" t="s">
        <v>2243</v>
      </c>
      <c r="B1275" s="55" t="s">
        <v>16</v>
      </c>
      <c r="C1275" s="55" t="s">
        <v>4401</v>
      </c>
      <c r="D1275" s="55" t="s">
        <v>4402</v>
      </c>
      <c r="E1275" s="55" t="s">
        <v>4403</v>
      </c>
      <c r="F1275" s="55" t="s">
        <v>2566</v>
      </c>
      <c r="I1275" s="55" t="s">
        <v>904</v>
      </c>
    </row>
    <row r="1276" customFormat="false" ht="11.25" hidden="false" customHeight="true" outlineLevel="0" collapsed="false">
      <c r="A1276" s="55" t="s">
        <v>2243</v>
      </c>
      <c r="B1276" s="55" t="s">
        <v>16</v>
      </c>
      <c r="C1276" s="55" t="s">
        <v>4404</v>
      </c>
      <c r="D1276" s="55" t="s">
        <v>4405</v>
      </c>
      <c r="E1276" s="55" t="s">
        <v>4406</v>
      </c>
      <c r="F1276" s="55" t="s">
        <v>2338</v>
      </c>
      <c r="G1276" s="55" t="s">
        <v>4407</v>
      </c>
      <c r="I1276" s="55" t="s">
        <v>904</v>
      </c>
    </row>
    <row r="1277" customFormat="false" ht="11.25" hidden="false" customHeight="true" outlineLevel="0" collapsed="false">
      <c r="A1277" s="55" t="s">
        <v>2243</v>
      </c>
      <c r="B1277" s="55" t="s">
        <v>16</v>
      </c>
      <c r="C1277" s="55" t="s">
        <v>4408</v>
      </c>
      <c r="D1277" s="55" t="s">
        <v>4409</v>
      </c>
      <c r="E1277" s="55" t="s">
        <v>4410</v>
      </c>
      <c r="F1277" s="55" t="s">
        <v>3130</v>
      </c>
      <c r="I1277" s="55" t="s">
        <v>904</v>
      </c>
    </row>
    <row r="1278" customFormat="false" ht="11.25" hidden="false" customHeight="true" outlineLevel="0" collapsed="false">
      <c r="A1278" s="55" t="s">
        <v>2243</v>
      </c>
      <c r="B1278" s="55" t="s">
        <v>16</v>
      </c>
      <c r="C1278" s="55" t="s">
        <v>4411</v>
      </c>
      <c r="D1278" s="55" t="s">
        <v>4412</v>
      </c>
      <c r="E1278" s="55" t="s">
        <v>4413</v>
      </c>
      <c r="F1278" s="55" t="s">
        <v>2329</v>
      </c>
      <c r="G1278" s="55" t="s">
        <v>4414</v>
      </c>
      <c r="I1278" s="55" t="s">
        <v>904</v>
      </c>
    </row>
    <row r="1279" customFormat="false" ht="11.25" hidden="false" customHeight="true" outlineLevel="0" collapsed="false">
      <c r="A1279" s="55" t="s">
        <v>2243</v>
      </c>
      <c r="B1279" s="55" t="s">
        <v>16</v>
      </c>
      <c r="C1279" s="55" t="s">
        <v>2941</v>
      </c>
      <c r="D1279" s="55" t="s">
        <v>2942</v>
      </c>
      <c r="E1279" s="55" t="s">
        <v>2943</v>
      </c>
      <c r="F1279" s="55" t="s">
        <v>2342</v>
      </c>
      <c r="G1279" s="55" t="s">
        <v>2944</v>
      </c>
      <c r="I1279" s="55" t="s">
        <v>904</v>
      </c>
    </row>
    <row r="1280" customFormat="false" ht="11.25" hidden="false" customHeight="true" outlineLevel="0" collapsed="false">
      <c r="A1280" s="55" t="s">
        <v>2243</v>
      </c>
      <c r="B1280" s="55" t="s">
        <v>16</v>
      </c>
      <c r="C1280" s="55" t="s">
        <v>4415</v>
      </c>
      <c r="D1280" s="55" t="s">
        <v>4416</v>
      </c>
      <c r="E1280" s="55" t="s">
        <v>4417</v>
      </c>
      <c r="F1280" s="55" t="s">
        <v>2566</v>
      </c>
      <c r="G1280" s="55" t="s">
        <v>4418</v>
      </c>
      <c r="I1280" s="55" t="s">
        <v>904</v>
      </c>
    </row>
    <row r="1281" customFormat="false" ht="11.25" hidden="false" customHeight="true" outlineLevel="0" collapsed="false">
      <c r="A1281" s="55" t="s">
        <v>2243</v>
      </c>
      <c r="B1281" s="55" t="s">
        <v>16</v>
      </c>
      <c r="C1281" s="55" t="s">
        <v>4419</v>
      </c>
      <c r="D1281" s="55" t="s">
        <v>4420</v>
      </c>
      <c r="E1281" s="55" t="s">
        <v>4421</v>
      </c>
      <c r="F1281" s="55" t="s">
        <v>2338</v>
      </c>
      <c r="G1281" s="55" t="s">
        <v>4422</v>
      </c>
      <c r="I1281" s="55" t="s">
        <v>904</v>
      </c>
    </row>
    <row r="1282" customFormat="false" ht="11.25" hidden="false" customHeight="true" outlineLevel="0" collapsed="false">
      <c r="A1282" s="55" t="s">
        <v>2243</v>
      </c>
      <c r="B1282" s="55" t="s">
        <v>16</v>
      </c>
      <c r="C1282" s="55" t="s">
        <v>2948</v>
      </c>
      <c r="D1282" s="55" t="s">
        <v>2949</v>
      </c>
      <c r="E1282" s="55" t="s">
        <v>2950</v>
      </c>
      <c r="F1282" s="55" t="s">
        <v>2283</v>
      </c>
      <c r="G1282" s="55" t="s">
        <v>2951</v>
      </c>
      <c r="I1282" s="55" t="s">
        <v>904</v>
      </c>
    </row>
    <row r="1283" customFormat="false" ht="11.25" hidden="false" customHeight="true" outlineLevel="0" collapsed="false">
      <c r="A1283" s="55" t="s">
        <v>2243</v>
      </c>
      <c r="B1283" s="55" t="s">
        <v>16</v>
      </c>
      <c r="C1283" s="55" t="s">
        <v>2960</v>
      </c>
      <c r="D1283" s="55" t="s">
        <v>2961</v>
      </c>
      <c r="E1283" s="55" t="s">
        <v>2962</v>
      </c>
      <c r="F1283" s="55" t="s">
        <v>2470</v>
      </c>
      <c r="G1283" s="55" t="s">
        <v>2963</v>
      </c>
      <c r="I1283" s="55" t="s">
        <v>904</v>
      </c>
    </row>
    <row r="1284" customFormat="false" ht="11.25" hidden="false" customHeight="true" outlineLevel="0" collapsed="false">
      <c r="A1284" s="55" t="s">
        <v>2243</v>
      </c>
      <c r="B1284" s="55" t="s">
        <v>16</v>
      </c>
      <c r="C1284" s="55" t="s">
        <v>4423</v>
      </c>
      <c r="D1284" s="55" t="s">
        <v>4424</v>
      </c>
      <c r="E1284" s="55" t="s">
        <v>4425</v>
      </c>
      <c r="F1284" s="55" t="s">
        <v>2890</v>
      </c>
      <c r="I1284" s="55" t="s">
        <v>904</v>
      </c>
    </row>
    <row r="1285" customFormat="false" ht="11.25" hidden="false" customHeight="true" outlineLevel="0" collapsed="false">
      <c r="A1285" s="55" t="s">
        <v>2243</v>
      </c>
      <c r="B1285" s="55" t="s">
        <v>16</v>
      </c>
      <c r="C1285" s="55" t="s">
        <v>2967</v>
      </c>
      <c r="D1285" s="55" t="s">
        <v>2968</v>
      </c>
      <c r="E1285" s="55" t="s">
        <v>2969</v>
      </c>
      <c r="F1285" s="55" t="s">
        <v>2274</v>
      </c>
      <c r="I1285" s="55" t="s">
        <v>904</v>
      </c>
    </row>
    <row r="1286" customFormat="false" ht="11.25" hidden="false" customHeight="true" outlineLevel="0" collapsed="false">
      <c r="A1286" s="55" t="s">
        <v>2243</v>
      </c>
      <c r="B1286" s="55" t="s">
        <v>16</v>
      </c>
      <c r="C1286" s="55" t="s">
        <v>2970</v>
      </c>
      <c r="D1286" s="55" t="s">
        <v>2971</v>
      </c>
      <c r="E1286" s="55" t="s">
        <v>2972</v>
      </c>
      <c r="F1286" s="55" t="s">
        <v>2338</v>
      </c>
      <c r="I1286" s="55" t="s">
        <v>904</v>
      </c>
    </row>
    <row r="1287" customFormat="false" ht="11.25" hidden="false" customHeight="true" outlineLevel="0" collapsed="false">
      <c r="A1287" s="55" t="s">
        <v>2243</v>
      </c>
      <c r="B1287" s="55" t="s">
        <v>16</v>
      </c>
      <c r="C1287" s="55" t="s">
        <v>2973</v>
      </c>
      <c r="D1287" s="55" t="s">
        <v>2974</v>
      </c>
      <c r="E1287" s="55" t="s">
        <v>2975</v>
      </c>
      <c r="F1287" s="55" t="s">
        <v>2338</v>
      </c>
      <c r="G1287" s="55" t="s">
        <v>2976</v>
      </c>
      <c r="I1287" s="55" t="s">
        <v>904</v>
      </c>
    </row>
    <row r="1288" customFormat="false" ht="11.25" hidden="false" customHeight="true" outlineLevel="0" collapsed="false">
      <c r="A1288" s="55" t="s">
        <v>2243</v>
      </c>
      <c r="B1288" s="55" t="s">
        <v>16</v>
      </c>
      <c r="C1288" s="55" t="s">
        <v>2977</v>
      </c>
      <c r="D1288" s="55" t="s">
        <v>2978</v>
      </c>
      <c r="E1288" s="55" t="s">
        <v>2979</v>
      </c>
      <c r="F1288" s="55" t="s">
        <v>2709</v>
      </c>
      <c r="G1288" s="55" t="s">
        <v>2980</v>
      </c>
      <c r="I1288" s="55" t="s">
        <v>904</v>
      </c>
    </row>
    <row r="1289" customFormat="false" ht="11.25" hidden="false" customHeight="true" outlineLevel="0" collapsed="false">
      <c r="A1289" s="55" t="s">
        <v>2243</v>
      </c>
      <c r="B1289" s="55" t="s">
        <v>16</v>
      </c>
      <c r="C1289" s="55" t="s">
        <v>2981</v>
      </c>
      <c r="D1289" s="55" t="s">
        <v>2982</v>
      </c>
      <c r="E1289" s="55" t="s">
        <v>2983</v>
      </c>
      <c r="F1289" s="55" t="s">
        <v>2672</v>
      </c>
      <c r="I1289" s="55" t="s">
        <v>904</v>
      </c>
    </row>
    <row r="1290" customFormat="false" ht="11.25" hidden="false" customHeight="true" outlineLevel="0" collapsed="false">
      <c r="A1290" s="55" t="s">
        <v>2243</v>
      </c>
      <c r="B1290" s="55" t="s">
        <v>16</v>
      </c>
      <c r="C1290" s="55" t="s">
        <v>2984</v>
      </c>
      <c r="D1290" s="55" t="s">
        <v>2985</v>
      </c>
      <c r="E1290" s="55" t="s">
        <v>2986</v>
      </c>
      <c r="F1290" s="55" t="s">
        <v>2338</v>
      </c>
      <c r="I1290" s="55" t="s">
        <v>904</v>
      </c>
    </row>
    <row r="1291" customFormat="false" ht="11.25" hidden="false" customHeight="true" outlineLevel="0" collapsed="false">
      <c r="A1291" s="55" t="s">
        <v>2243</v>
      </c>
      <c r="B1291" s="55" t="s">
        <v>16</v>
      </c>
      <c r="C1291" s="55" t="s">
        <v>2995</v>
      </c>
      <c r="D1291" s="55" t="s">
        <v>2996</v>
      </c>
      <c r="E1291" s="55" t="s">
        <v>2997</v>
      </c>
      <c r="F1291" s="55" t="s">
        <v>2566</v>
      </c>
      <c r="G1291" s="55" t="s">
        <v>2998</v>
      </c>
      <c r="I1291" s="55" t="s">
        <v>904</v>
      </c>
    </row>
    <row r="1292" customFormat="false" ht="11.25" hidden="false" customHeight="true" outlineLevel="0" collapsed="false">
      <c r="A1292" s="55" t="s">
        <v>2243</v>
      </c>
      <c r="B1292" s="55" t="s">
        <v>16</v>
      </c>
      <c r="C1292" s="55" t="s">
        <v>2999</v>
      </c>
      <c r="D1292" s="55" t="s">
        <v>3000</v>
      </c>
      <c r="E1292" s="55" t="s">
        <v>3001</v>
      </c>
      <c r="F1292" s="55" t="s">
        <v>2558</v>
      </c>
      <c r="I1292" s="55" t="s">
        <v>904</v>
      </c>
    </row>
    <row r="1293" customFormat="false" ht="11.25" hidden="false" customHeight="true" outlineLevel="0" collapsed="false">
      <c r="A1293" s="55" t="s">
        <v>2243</v>
      </c>
      <c r="B1293" s="55" t="s">
        <v>16</v>
      </c>
      <c r="C1293" s="55" t="s">
        <v>3002</v>
      </c>
      <c r="D1293" s="55" t="s">
        <v>3003</v>
      </c>
      <c r="E1293" s="55" t="s">
        <v>3004</v>
      </c>
      <c r="F1293" s="55" t="s">
        <v>2672</v>
      </c>
      <c r="G1293" s="55" t="s">
        <v>3005</v>
      </c>
      <c r="I1293" s="55" t="s">
        <v>904</v>
      </c>
    </row>
    <row r="1294" customFormat="false" ht="11.25" hidden="false" customHeight="true" outlineLevel="0" collapsed="false">
      <c r="A1294" s="55" t="s">
        <v>2243</v>
      </c>
      <c r="B1294" s="55" t="s">
        <v>16</v>
      </c>
      <c r="C1294" s="55" t="s">
        <v>3006</v>
      </c>
      <c r="D1294" s="55" t="s">
        <v>3007</v>
      </c>
      <c r="E1294" s="55" t="s">
        <v>3008</v>
      </c>
      <c r="F1294" s="55" t="s">
        <v>2342</v>
      </c>
      <c r="G1294" s="55" t="s">
        <v>3009</v>
      </c>
      <c r="I1294" s="55" t="s">
        <v>904</v>
      </c>
    </row>
    <row r="1295" customFormat="false" ht="11.25" hidden="false" customHeight="true" outlineLevel="0" collapsed="false">
      <c r="A1295" s="55" t="s">
        <v>2243</v>
      </c>
      <c r="B1295" s="55" t="s">
        <v>16</v>
      </c>
      <c r="C1295" s="55" t="s">
        <v>4426</v>
      </c>
      <c r="D1295" s="55" t="s">
        <v>4427</v>
      </c>
      <c r="E1295" s="55" t="s">
        <v>4428</v>
      </c>
      <c r="F1295" s="55" t="s">
        <v>2347</v>
      </c>
      <c r="G1295" s="55" t="s">
        <v>4429</v>
      </c>
      <c r="I1295" s="55" t="s">
        <v>904</v>
      </c>
    </row>
    <row r="1296" customFormat="false" ht="11.25" hidden="false" customHeight="true" outlineLevel="0" collapsed="false">
      <c r="A1296" s="55" t="s">
        <v>2243</v>
      </c>
      <c r="B1296" s="55" t="s">
        <v>16</v>
      </c>
      <c r="C1296" s="55" t="s">
        <v>4430</v>
      </c>
      <c r="D1296" s="55" t="s">
        <v>4431</v>
      </c>
      <c r="E1296" s="55" t="s">
        <v>4432</v>
      </c>
      <c r="F1296" s="55" t="s">
        <v>2387</v>
      </c>
      <c r="I1296" s="55" t="s">
        <v>904</v>
      </c>
    </row>
    <row r="1297" customFormat="false" ht="11.25" hidden="false" customHeight="true" outlineLevel="0" collapsed="false">
      <c r="A1297" s="55" t="s">
        <v>2243</v>
      </c>
      <c r="B1297" s="55" t="s">
        <v>16</v>
      </c>
      <c r="C1297" s="55" t="s">
        <v>3013</v>
      </c>
      <c r="D1297" s="55" t="s">
        <v>3014</v>
      </c>
      <c r="E1297" s="55" t="s">
        <v>3015</v>
      </c>
      <c r="F1297" s="55" t="s">
        <v>2333</v>
      </c>
      <c r="I1297" s="55" t="s">
        <v>904</v>
      </c>
    </row>
    <row r="1298" customFormat="false" ht="11.25" hidden="false" customHeight="true" outlineLevel="0" collapsed="false">
      <c r="A1298" s="55" t="s">
        <v>2243</v>
      </c>
      <c r="B1298" s="55" t="s">
        <v>16</v>
      </c>
      <c r="C1298" s="55" t="s">
        <v>4433</v>
      </c>
      <c r="D1298" s="55" t="s">
        <v>4434</v>
      </c>
      <c r="E1298" s="55" t="s">
        <v>4435</v>
      </c>
      <c r="F1298" s="55" t="s">
        <v>2283</v>
      </c>
      <c r="G1298" s="55" t="s">
        <v>4436</v>
      </c>
      <c r="I1298" s="55" t="s">
        <v>904</v>
      </c>
    </row>
    <row r="1299" customFormat="false" ht="11.25" hidden="false" customHeight="true" outlineLevel="0" collapsed="false">
      <c r="A1299" s="55" t="s">
        <v>2243</v>
      </c>
      <c r="B1299" s="55" t="s">
        <v>16</v>
      </c>
      <c r="C1299" s="55" t="s">
        <v>4437</v>
      </c>
      <c r="D1299" s="55" t="s">
        <v>4438</v>
      </c>
      <c r="E1299" s="55" t="s">
        <v>4439</v>
      </c>
      <c r="F1299" s="55" t="s">
        <v>2672</v>
      </c>
      <c r="I1299" s="55" t="s">
        <v>904</v>
      </c>
    </row>
    <row r="1300" customFormat="false" ht="11.25" hidden="false" customHeight="true" outlineLevel="0" collapsed="false">
      <c r="A1300" s="55" t="s">
        <v>2243</v>
      </c>
      <c r="B1300" s="55" t="s">
        <v>16</v>
      </c>
      <c r="C1300" s="55" t="s">
        <v>3024</v>
      </c>
      <c r="D1300" s="55" t="s">
        <v>3025</v>
      </c>
      <c r="E1300" s="55" t="s">
        <v>3026</v>
      </c>
      <c r="F1300" s="55" t="s">
        <v>2342</v>
      </c>
      <c r="G1300" s="55" t="s">
        <v>3027</v>
      </c>
      <c r="I1300" s="55" t="s">
        <v>904</v>
      </c>
    </row>
    <row r="1301" customFormat="false" ht="11.25" hidden="false" customHeight="true" outlineLevel="0" collapsed="false">
      <c r="A1301" s="55" t="s">
        <v>2243</v>
      </c>
      <c r="B1301" s="55" t="s">
        <v>16</v>
      </c>
      <c r="C1301" s="55" t="s">
        <v>3032</v>
      </c>
      <c r="D1301" s="55" t="s">
        <v>3033</v>
      </c>
      <c r="E1301" s="55" t="s">
        <v>3034</v>
      </c>
      <c r="F1301" s="55" t="s">
        <v>2283</v>
      </c>
      <c r="G1301" s="55" t="s">
        <v>3035</v>
      </c>
      <c r="I1301" s="55" t="s">
        <v>904</v>
      </c>
    </row>
    <row r="1302" customFormat="false" ht="11.25" hidden="false" customHeight="true" outlineLevel="0" collapsed="false">
      <c r="A1302" s="55" t="s">
        <v>2243</v>
      </c>
      <c r="B1302" s="55" t="s">
        <v>16</v>
      </c>
      <c r="C1302" s="55" t="s">
        <v>3040</v>
      </c>
      <c r="D1302" s="55" t="s">
        <v>3041</v>
      </c>
      <c r="E1302" s="55" t="s">
        <v>3042</v>
      </c>
      <c r="F1302" s="55" t="s">
        <v>2274</v>
      </c>
      <c r="G1302" s="55" t="s">
        <v>2994</v>
      </c>
      <c r="I1302" s="55" t="s">
        <v>904</v>
      </c>
    </row>
    <row r="1303" customFormat="false" ht="11.25" hidden="false" customHeight="true" outlineLevel="0" collapsed="false">
      <c r="A1303" s="55" t="s">
        <v>2243</v>
      </c>
      <c r="B1303" s="55" t="s">
        <v>16</v>
      </c>
      <c r="C1303" s="55" t="s">
        <v>3043</v>
      </c>
      <c r="D1303" s="55" t="s">
        <v>3044</v>
      </c>
      <c r="E1303" s="55" t="s">
        <v>3045</v>
      </c>
      <c r="F1303" s="55" t="s">
        <v>2274</v>
      </c>
      <c r="G1303" s="55" t="s">
        <v>3046</v>
      </c>
      <c r="I1303" s="55" t="s">
        <v>904</v>
      </c>
    </row>
    <row r="1304" customFormat="false" ht="11.25" hidden="false" customHeight="true" outlineLevel="0" collapsed="false">
      <c r="A1304" s="55" t="s">
        <v>2243</v>
      </c>
      <c r="B1304" s="55" t="s">
        <v>16</v>
      </c>
      <c r="C1304" s="55" t="s">
        <v>3047</v>
      </c>
      <c r="D1304" s="55" t="s">
        <v>3048</v>
      </c>
      <c r="E1304" s="55" t="s">
        <v>3049</v>
      </c>
      <c r="F1304" s="55" t="s">
        <v>2283</v>
      </c>
      <c r="I1304" s="55" t="s">
        <v>904</v>
      </c>
    </row>
    <row r="1305" customFormat="false" ht="11.25" hidden="false" customHeight="true" outlineLevel="0" collapsed="false">
      <c r="A1305" s="55" t="s">
        <v>2243</v>
      </c>
      <c r="B1305" s="55" t="s">
        <v>16</v>
      </c>
      <c r="C1305" s="55" t="s">
        <v>3050</v>
      </c>
      <c r="D1305" s="55" t="s">
        <v>3051</v>
      </c>
      <c r="E1305" s="55" t="s">
        <v>3052</v>
      </c>
      <c r="F1305" s="55" t="s">
        <v>2338</v>
      </c>
      <c r="G1305" s="55" t="s">
        <v>3053</v>
      </c>
      <c r="I1305" s="55" t="s">
        <v>904</v>
      </c>
    </row>
    <row r="1306" customFormat="false" ht="11.25" hidden="false" customHeight="true" outlineLevel="0" collapsed="false">
      <c r="A1306" s="55" t="s">
        <v>2243</v>
      </c>
      <c r="B1306" s="55" t="s">
        <v>16</v>
      </c>
      <c r="C1306" s="55" t="s">
        <v>3069</v>
      </c>
      <c r="D1306" s="55" t="s">
        <v>3070</v>
      </c>
      <c r="E1306" s="55" t="s">
        <v>3071</v>
      </c>
      <c r="F1306" s="55" t="s">
        <v>2387</v>
      </c>
      <c r="G1306" s="55" t="s">
        <v>3072</v>
      </c>
      <c r="I1306" s="55" t="s">
        <v>904</v>
      </c>
    </row>
    <row r="1307" customFormat="false" ht="11.25" hidden="false" customHeight="true" outlineLevel="0" collapsed="false">
      <c r="A1307" s="55" t="s">
        <v>2243</v>
      </c>
      <c r="B1307" s="55" t="s">
        <v>16</v>
      </c>
      <c r="C1307" s="55" t="s">
        <v>3073</v>
      </c>
      <c r="D1307" s="55" t="s">
        <v>3074</v>
      </c>
      <c r="E1307" s="55" t="s">
        <v>3075</v>
      </c>
      <c r="F1307" s="55" t="s">
        <v>3076</v>
      </c>
      <c r="G1307" s="55" t="s">
        <v>3077</v>
      </c>
      <c r="I1307" s="55" t="s">
        <v>904</v>
      </c>
    </row>
    <row r="1308" customFormat="false" ht="11.25" hidden="false" customHeight="true" outlineLevel="0" collapsed="false">
      <c r="A1308" s="55" t="s">
        <v>2243</v>
      </c>
      <c r="B1308" s="55" t="s">
        <v>16</v>
      </c>
      <c r="C1308" s="55" t="s">
        <v>3081</v>
      </c>
      <c r="D1308" s="55" t="s">
        <v>3082</v>
      </c>
      <c r="E1308" s="55" t="s">
        <v>3083</v>
      </c>
      <c r="F1308" s="55" t="s">
        <v>2342</v>
      </c>
      <c r="G1308" s="55" t="s">
        <v>3084</v>
      </c>
      <c r="I1308" s="55" t="s">
        <v>904</v>
      </c>
    </row>
    <row r="1309" customFormat="false" ht="11.25" hidden="false" customHeight="true" outlineLevel="0" collapsed="false">
      <c r="A1309" s="55" t="s">
        <v>2243</v>
      </c>
      <c r="B1309" s="55" t="s">
        <v>16</v>
      </c>
      <c r="C1309" s="55" t="s">
        <v>3085</v>
      </c>
      <c r="D1309" s="55" t="s">
        <v>3086</v>
      </c>
      <c r="E1309" s="55" t="s">
        <v>3087</v>
      </c>
      <c r="F1309" s="55" t="s">
        <v>2338</v>
      </c>
      <c r="G1309" s="55" t="s">
        <v>3088</v>
      </c>
      <c r="I1309" s="55" t="s">
        <v>904</v>
      </c>
    </row>
    <row r="1310" customFormat="false" ht="11.25" hidden="false" customHeight="true" outlineLevel="0" collapsed="false">
      <c r="A1310" s="55" t="s">
        <v>2243</v>
      </c>
      <c r="B1310" s="55" t="s">
        <v>16</v>
      </c>
      <c r="C1310" s="55" t="s">
        <v>3089</v>
      </c>
      <c r="D1310" s="55" t="s">
        <v>3090</v>
      </c>
      <c r="E1310" s="55" t="s">
        <v>3091</v>
      </c>
      <c r="F1310" s="55" t="s">
        <v>2338</v>
      </c>
      <c r="G1310" s="55" t="s">
        <v>3092</v>
      </c>
      <c r="I1310" s="55" t="s">
        <v>904</v>
      </c>
    </row>
    <row r="1311" customFormat="false" ht="11.25" hidden="false" customHeight="true" outlineLevel="0" collapsed="false">
      <c r="A1311" s="55" t="s">
        <v>2243</v>
      </c>
      <c r="B1311" s="55" t="s">
        <v>16</v>
      </c>
      <c r="C1311" s="55" t="s">
        <v>4440</v>
      </c>
      <c r="D1311" s="55" t="s">
        <v>4441</v>
      </c>
      <c r="E1311" s="55" t="s">
        <v>4442</v>
      </c>
      <c r="F1311" s="55" t="s">
        <v>2347</v>
      </c>
      <c r="I1311" s="55" t="s">
        <v>904</v>
      </c>
    </row>
    <row r="1312" customFormat="false" ht="11.25" hidden="false" customHeight="true" outlineLevel="0" collapsed="false">
      <c r="A1312" s="55" t="s">
        <v>2243</v>
      </c>
      <c r="B1312" s="55" t="s">
        <v>16</v>
      </c>
      <c r="C1312" s="55" t="s">
        <v>4443</v>
      </c>
      <c r="D1312" s="55" t="s">
        <v>4444</v>
      </c>
      <c r="E1312" s="55" t="s">
        <v>4445</v>
      </c>
      <c r="F1312" s="55" t="s">
        <v>2318</v>
      </c>
      <c r="I1312" s="55" t="s">
        <v>904</v>
      </c>
    </row>
    <row r="1313" customFormat="false" ht="11.25" hidden="false" customHeight="true" outlineLevel="0" collapsed="false">
      <c r="A1313" s="55" t="s">
        <v>2243</v>
      </c>
      <c r="B1313" s="55" t="s">
        <v>16</v>
      </c>
      <c r="C1313" s="55" t="s">
        <v>4446</v>
      </c>
      <c r="D1313" s="55" t="s">
        <v>4447</v>
      </c>
      <c r="E1313" s="55" t="s">
        <v>4448</v>
      </c>
      <c r="F1313" s="55" t="s">
        <v>2470</v>
      </c>
      <c r="G1313" s="55" t="s">
        <v>4449</v>
      </c>
      <c r="I1313" s="55" t="s">
        <v>904</v>
      </c>
    </row>
    <row r="1314" customFormat="false" ht="11.25" hidden="false" customHeight="true" outlineLevel="0" collapsed="false">
      <c r="A1314" s="55" t="s">
        <v>2243</v>
      </c>
      <c r="B1314" s="55" t="s">
        <v>16</v>
      </c>
      <c r="C1314" s="55" t="s">
        <v>3116</v>
      </c>
      <c r="D1314" s="55" t="s">
        <v>3117</v>
      </c>
      <c r="E1314" s="55" t="s">
        <v>3118</v>
      </c>
      <c r="F1314" s="55" t="s">
        <v>2347</v>
      </c>
      <c r="G1314" s="55" t="s">
        <v>3119</v>
      </c>
      <c r="I1314" s="55" t="s">
        <v>904</v>
      </c>
    </row>
    <row r="1315" customFormat="false" ht="11.25" hidden="false" customHeight="true" outlineLevel="0" collapsed="false">
      <c r="A1315" s="55" t="s">
        <v>2243</v>
      </c>
      <c r="B1315" s="55" t="s">
        <v>16</v>
      </c>
      <c r="C1315" s="55" t="s">
        <v>4450</v>
      </c>
      <c r="D1315" s="55" t="s">
        <v>4451</v>
      </c>
      <c r="E1315" s="55" t="s">
        <v>4452</v>
      </c>
      <c r="F1315" s="55" t="s">
        <v>2347</v>
      </c>
      <c r="I1315" s="55" t="s">
        <v>904</v>
      </c>
    </row>
    <row r="1316" customFormat="false" ht="11.25" hidden="false" customHeight="true" outlineLevel="0" collapsed="false">
      <c r="A1316" s="55" t="s">
        <v>2243</v>
      </c>
      <c r="B1316" s="55" t="s">
        <v>16</v>
      </c>
      <c r="C1316" s="55" t="s">
        <v>4453</v>
      </c>
      <c r="D1316" s="55" t="s">
        <v>4454</v>
      </c>
      <c r="E1316" s="55" t="s">
        <v>4455</v>
      </c>
      <c r="F1316" s="55" t="s">
        <v>2387</v>
      </c>
      <c r="G1316" s="55" t="s">
        <v>4456</v>
      </c>
      <c r="I1316" s="55" t="s">
        <v>904</v>
      </c>
    </row>
    <row r="1317" customFormat="false" ht="11.25" hidden="false" customHeight="true" outlineLevel="0" collapsed="false">
      <c r="A1317" s="55" t="s">
        <v>2243</v>
      </c>
      <c r="B1317" s="55" t="s">
        <v>16</v>
      </c>
      <c r="C1317" s="55" t="s">
        <v>4457</v>
      </c>
      <c r="D1317" s="55" t="s">
        <v>4458</v>
      </c>
      <c r="E1317" s="55" t="s">
        <v>4459</v>
      </c>
      <c r="F1317" s="55" t="s">
        <v>2566</v>
      </c>
      <c r="I1317" s="55" t="s">
        <v>904</v>
      </c>
    </row>
    <row r="1318" customFormat="false" ht="11.25" hidden="false" customHeight="true" outlineLevel="0" collapsed="false">
      <c r="A1318" s="55" t="s">
        <v>2243</v>
      </c>
      <c r="B1318" s="55" t="s">
        <v>16</v>
      </c>
      <c r="C1318" s="55" t="s">
        <v>3148</v>
      </c>
      <c r="D1318" s="55" t="s">
        <v>3149</v>
      </c>
      <c r="E1318" s="55" t="s">
        <v>3150</v>
      </c>
      <c r="F1318" s="55" t="s">
        <v>2566</v>
      </c>
      <c r="G1318" s="55" t="s">
        <v>3151</v>
      </c>
      <c r="I1318" s="55" t="s">
        <v>904</v>
      </c>
    </row>
    <row r="1319" customFormat="false" ht="11.25" hidden="false" customHeight="true" outlineLevel="0" collapsed="false">
      <c r="A1319" s="55" t="s">
        <v>2243</v>
      </c>
      <c r="B1319" s="55" t="s">
        <v>16</v>
      </c>
      <c r="C1319" s="55" t="s">
        <v>3155</v>
      </c>
      <c r="D1319" s="55" t="s">
        <v>3156</v>
      </c>
      <c r="E1319" s="55" t="s">
        <v>3157</v>
      </c>
      <c r="F1319" s="55" t="s">
        <v>2309</v>
      </c>
      <c r="G1319" s="55" t="s">
        <v>3158</v>
      </c>
      <c r="I1319" s="55" t="s">
        <v>904</v>
      </c>
    </row>
    <row r="1320" customFormat="false" ht="11.25" hidden="false" customHeight="true" outlineLevel="0" collapsed="false">
      <c r="A1320" s="55" t="s">
        <v>2243</v>
      </c>
      <c r="B1320" s="55" t="s">
        <v>16</v>
      </c>
      <c r="C1320" s="55" t="s">
        <v>4464</v>
      </c>
      <c r="D1320" s="55" t="s">
        <v>4465</v>
      </c>
      <c r="E1320" s="55" t="s">
        <v>4466</v>
      </c>
      <c r="F1320" s="55" t="s">
        <v>2566</v>
      </c>
      <c r="G1320" s="55" t="s">
        <v>4467</v>
      </c>
      <c r="I1320" s="55" t="s">
        <v>904</v>
      </c>
    </row>
    <row r="1321" customFormat="false" ht="11.25" hidden="false" customHeight="true" outlineLevel="0" collapsed="false">
      <c r="A1321" s="55" t="s">
        <v>2243</v>
      </c>
      <c r="B1321" s="55" t="s">
        <v>16</v>
      </c>
      <c r="C1321" s="55" t="s">
        <v>4468</v>
      </c>
      <c r="D1321" s="55" t="s">
        <v>4469</v>
      </c>
      <c r="E1321" s="55" t="s">
        <v>4470</v>
      </c>
      <c r="F1321" s="55" t="s">
        <v>2333</v>
      </c>
      <c r="G1321" s="55" t="s">
        <v>4471</v>
      </c>
      <c r="I1321" s="55" t="s">
        <v>904</v>
      </c>
    </row>
    <row r="1322" customFormat="false" ht="11.25" hidden="false" customHeight="true" outlineLevel="0" collapsed="false">
      <c r="A1322" s="55" t="s">
        <v>2243</v>
      </c>
      <c r="B1322" s="55" t="s">
        <v>16</v>
      </c>
      <c r="C1322" s="55" t="s">
        <v>4472</v>
      </c>
      <c r="D1322" s="55" t="s">
        <v>4473</v>
      </c>
      <c r="E1322" s="55" t="s">
        <v>4474</v>
      </c>
      <c r="F1322" s="55" t="s">
        <v>2274</v>
      </c>
      <c r="I1322" s="55" t="s">
        <v>904</v>
      </c>
    </row>
    <row r="1323" customFormat="false" ht="11.25" hidden="false" customHeight="true" outlineLevel="0" collapsed="false">
      <c r="A1323" s="55" t="s">
        <v>2243</v>
      </c>
      <c r="B1323" s="55" t="s">
        <v>16</v>
      </c>
      <c r="C1323" s="55" t="s">
        <v>3166</v>
      </c>
      <c r="D1323" s="55" t="s">
        <v>3167</v>
      </c>
      <c r="E1323" s="55" t="s">
        <v>3168</v>
      </c>
      <c r="F1323" s="55" t="s">
        <v>2247</v>
      </c>
      <c r="G1323" s="55" t="s">
        <v>3169</v>
      </c>
      <c r="I1323" s="55" t="s">
        <v>904</v>
      </c>
    </row>
    <row r="1324" customFormat="false" ht="11.25" hidden="false" customHeight="true" outlineLevel="0" collapsed="false">
      <c r="A1324" s="55" t="s">
        <v>2243</v>
      </c>
      <c r="B1324" s="55" t="s">
        <v>16</v>
      </c>
      <c r="C1324" s="55" t="s">
        <v>3170</v>
      </c>
      <c r="D1324" s="55" t="s">
        <v>3171</v>
      </c>
      <c r="E1324" s="55" t="s">
        <v>3172</v>
      </c>
      <c r="F1324" s="55" t="s">
        <v>2283</v>
      </c>
      <c r="G1324" s="55" t="s">
        <v>3173</v>
      </c>
      <c r="I1324" s="55" t="s">
        <v>904</v>
      </c>
    </row>
    <row r="1325" customFormat="false" ht="11.25" hidden="false" customHeight="true" outlineLevel="0" collapsed="false">
      <c r="A1325" s="55" t="s">
        <v>2243</v>
      </c>
      <c r="B1325" s="55" t="s">
        <v>16</v>
      </c>
      <c r="C1325" s="55" t="s">
        <v>3174</v>
      </c>
      <c r="D1325" s="55" t="s">
        <v>3175</v>
      </c>
      <c r="E1325" s="55" t="s">
        <v>3176</v>
      </c>
      <c r="F1325" s="55" t="s">
        <v>2247</v>
      </c>
      <c r="G1325" s="55" t="s">
        <v>3177</v>
      </c>
      <c r="I1325" s="55" t="s">
        <v>904</v>
      </c>
    </row>
    <row r="1326" customFormat="false" ht="11.25" hidden="false" customHeight="true" outlineLevel="0" collapsed="false">
      <c r="A1326" s="55" t="s">
        <v>2243</v>
      </c>
      <c r="B1326" s="55" t="s">
        <v>16</v>
      </c>
      <c r="C1326" s="55" t="s">
        <v>4475</v>
      </c>
      <c r="D1326" s="55" t="s">
        <v>4476</v>
      </c>
      <c r="E1326" s="55" t="s">
        <v>4477</v>
      </c>
      <c r="F1326" s="55" t="s">
        <v>3986</v>
      </c>
      <c r="I1326" s="55" t="s">
        <v>904</v>
      </c>
    </row>
    <row r="1327" customFormat="false" ht="11.25" hidden="false" customHeight="true" outlineLevel="0" collapsed="false">
      <c r="A1327" s="55" t="s">
        <v>2243</v>
      </c>
      <c r="B1327" s="55" t="s">
        <v>16</v>
      </c>
      <c r="C1327" s="55" t="s">
        <v>3196</v>
      </c>
      <c r="D1327" s="55" t="s">
        <v>3197</v>
      </c>
      <c r="E1327" s="55" t="s">
        <v>3198</v>
      </c>
      <c r="F1327" s="55" t="s">
        <v>2247</v>
      </c>
      <c r="G1327" s="55" t="s">
        <v>3199</v>
      </c>
      <c r="I1327" s="55" t="s">
        <v>904</v>
      </c>
    </row>
    <row r="1328" customFormat="false" ht="11.25" hidden="false" customHeight="true" outlineLevel="0" collapsed="false">
      <c r="A1328" s="55" t="s">
        <v>2243</v>
      </c>
      <c r="B1328" s="55" t="s">
        <v>16</v>
      </c>
      <c r="C1328" s="55" t="s">
        <v>3200</v>
      </c>
      <c r="D1328" s="55" t="s">
        <v>3201</v>
      </c>
      <c r="E1328" s="55" t="s">
        <v>3202</v>
      </c>
      <c r="F1328" s="55" t="s">
        <v>2338</v>
      </c>
      <c r="G1328" s="55" t="s">
        <v>3203</v>
      </c>
      <c r="I1328" s="55" t="s">
        <v>904</v>
      </c>
    </row>
    <row r="1329" customFormat="false" ht="11.25" hidden="false" customHeight="true" outlineLevel="0" collapsed="false">
      <c r="A1329" s="55" t="s">
        <v>2243</v>
      </c>
      <c r="B1329" s="55" t="s">
        <v>16</v>
      </c>
      <c r="C1329" s="55" t="s">
        <v>3208</v>
      </c>
      <c r="D1329" s="55" t="s">
        <v>3209</v>
      </c>
      <c r="E1329" s="55" t="s">
        <v>3210</v>
      </c>
      <c r="F1329" s="55" t="s">
        <v>2247</v>
      </c>
      <c r="G1329" s="55" t="s">
        <v>3211</v>
      </c>
      <c r="I1329" s="55" t="s">
        <v>904</v>
      </c>
    </row>
    <row r="1330" customFormat="false" ht="11.25" hidden="false" customHeight="true" outlineLevel="0" collapsed="false">
      <c r="A1330" s="55" t="s">
        <v>2243</v>
      </c>
      <c r="B1330" s="55" t="s">
        <v>16</v>
      </c>
      <c r="C1330" s="55" t="s">
        <v>3212</v>
      </c>
      <c r="D1330" s="55" t="s">
        <v>3213</v>
      </c>
      <c r="E1330" s="55" t="s">
        <v>3214</v>
      </c>
      <c r="F1330" s="55" t="s">
        <v>2890</v>
      </c>
      <c r="I1330" s="55" t="s">
        <v>904</v>
      </c>
    </row>
    <row r="1331" customFormat="false" ht="11.25" hidden="false" customHeight="true" outlineLevel="0" collapsed="false">
      <c r="A1331" s="55" t="s">
        <v>2243</v>
      </c>
      <c r="B1331" s="55" t="s">
        <v>16</v>
      </c>
      <c r="C1331" s="55" t="s">
        <v>3219</v>
      </c>
      <c r="D1331" s="55" t="s">
        <v>3220</v>
      </c>
      <c r="E1331" s="55" t="s">
        <v>3221</v>
      </c>
      <c r="F1331" s="55" t="s">
        <v>2283</v>
      </c>
      <c r="I1331" s="55" t="s">
        <v>904</v>
      </c>
    </row>
    <row r="1332" customFormat="false" ht="11.25" hidden="false" customHeight="true" outlineLevel="0" collapsed="false">
      <c r="A1332" s="55" t="s">
        <v>2243</v>
      </c>
      <c r="B1332" s="55" t="s">
        <v>16</v>
      </c>
      <c r="C1332" s="55" t="s">
        <v>3229</v>
      </c>
      <c r="D1332" s="55" t="s">
        <v>3230</v>
      </c>
      <c r="E1332" s="55" t="s">
        <v>3231</v>
      </c>
      <c r="F1332" s="55" t="s">
        <v>2283</v>
      </c>
      <c r="I1332" s="55" t="s">
        <v>904</v>
      </c>
    </row>
    <row r="1333" customFormat="false" ht="11.25" hidden="false" customHeight="true" outlineLevel="0" collapsed="false">
      <c r="A1333" s="55" t="s">
        <v>2243</v>
      </c>
      <c r="B1333" s="55" t="s">
        <v>16</v>
      </c>
      <c r="C1333" s="55" t="s">
        <v>3232</v>
      </c>
      <c r="D1333" s="55" t="s">
        <v>3233</v>
      </c>
      <c r="E1333" s="55" t="s">
        <v>3234</v>
      </c>
      <c r="F1333" s="55" t="s">
        <v>3235</v>
      </c>
      <c r="I1333" s="55" t="s">
        <v>904</v>
      </c>
    </row>
    <row r="1334" customFormat="false" ht="11.25" hidden="false" customHeight="true" outlineLevel="0" collapsed="false">
      <c r="A1334" s="55" t="s">
        <v>2243</v>
      </c>
      <c r="B1334" s="55" t="s">
        <v>16</v>
      </c>
      <c r="C1334" s="55" t="s">
        <v>4478</v>
      </c>
      <c r="D1334" s="55" t="s">
        <v>4479</v>
      </c>
      <c r="E1334" s="55" t="s">
        <v>4480</v>
      </c>
      <c r="F1334" s="55" t="s">
        <v>2247</v>
      </c>
      <c r="I1334" s="55" t="s">
        <v>904</v>
      </c>
    </row>
    <row r="1335" customFormat="false" ht="11.25" hidden="false" customHeight="true" outlineLevel="0" collapsed="false">
      <c r="A1335" s="55" t="s">
        <v>2243</v>
      </c>
      <c r="B1335" s="55" t="s">
        <v>16</v>
      </c>
      <c r="C1335" s="55" t="s">
        <v>4665</v>
      </c>
      <c r="D1335" s="55" t="s">
        <v>4666</v>
      </c>
      <c r="E1335" s="55" t="s">
        <v>4667</v>
      </c>
      <c r="F1335" s="55" t="s">
        <v>2709</v>
      </c>
      <c r="I1335" s="55" t="s">
        <v>904</v>
      </c>
    </row>
    <row r="1336" customFormat="false" ht="11.25" hidden="false" customHeight="true" outlineLevel="0" collapsed="false">
      <c r="A1336" s="55" t="s">
        <v>2243</v>
      </c>
      <c r="B1336" s="55" t="s">
        <v>16</v>
      </c>
      <c r="C1336" s="55" t="s">
        <v>3236</v>
      </c>
      <c r="D1336" s="55" t="s">
        <v>3237</v>
      </c>
      <c r="E1336" s="55" t="s">
        <v>3238</v>
      </c>
      <c r="F1336" s="55" t="s">
        <v>2387</v>
      </c>
      <c r="I1336" s="55" t="s">
        <v>904</v>
      </c>
    </row>
    <row r="1337" customFormat="false" ht="11.25" hidden="false" customHeight="true" outlineLevel="0" collapsed="false">
      <c r="A1337" s="55" t="s">
        <v>2243</v>
      </c>
      <c r="B1337" s="55" t="s">
        <v>16</v>
      </c>
      <c r="C1337" s="55" t="s">
        <v>3258</v>
      </c>
      <c r="D1337" s="55" t="s">
        <v>3259</v>
      </c>
      <c r="E1337" s="55" t="s">
        <v>3260</v>
      </c>
      <c r="F1337" s="55" t="s">
        <v>2329</v>
      </c>
      <c r="I1337" s="55" t="s">
        <v>904</v>
      </c>
    </row>
    <row r="1338" customFormat="false" ht="11.25" hidden="false" customHeight="true" outlineLevel="0" collapsed="false">
      <c r="A1338" s="55" t="s">
        <v>2243</v>
      </c>
      <c r="B1338" s="55" t="s">
        <v>16</v>
      </c>
      <c r="C1338" s="55" t="s">
        <v>3268</v>
      </c>
      <c r="D1338" s="55" t="s">
        <v>3269</v>
      </c>
      <c r="E1338" s="55" t="s">
        <v>3270</v>
      </c>
      <c r="F1338" s="55" t="s">
        <v>2283</v>
      </c>
      <c r="I1338" s="55" t="s">
        <v>904</v>
      </c>
    </row>
    <row r="1339" customFormat="false" ht="11.25" hidden="false" customHeight="true" outlineLevel="0" collapsed="false">
      <c r="A1339" s="55" t="s">
        <v>2243</v>
      </c>
      <c r="B1339" s="55" t="s">
        <v>16</v>
      </c>
      <c r="C1339" s="55" t="s">
        <v>4481</v>
      </c>
      <c r="D1339" s="55" t="s">
        <v>4482</v>
      </c>
      <c r="E1339" s="55" t="s">
        <v>4483</v>
      </c>
      <c r="F1339" s="55" t="s">
        <v>2347</v>
      </c>
      <c r="I1339" s="55" t="s">
        <v>904</v>
      </c>
    </row>
    <row r="1340" customFormat="false" ht="11.25" hidden="false" customHeight="true" outlineLevel="0" collapsed="false">
      <c r="A1340" s="55" t="s">
        <v>2243</v>
      </c>
      <c r="B1340" s="55" t="s">
        <v>16</v>
      </c>
      <c r="C1340" s="55" t="s">
        <v>3305</v>
      </c>
      <c r="D1340" s="55" t="s">
        <v>3306</v>
      </c>
      <c r="E1340" s="55" t="s">
        <v>3307</v>
      </c>
      <c r="F1340" s="55" t="s">
        <v>3308</v>
      </c>
      <c r="I1340" s="55" t="s">
        <v>904</v>
      </c>
    </row>
    <row r="1341" customFormat="false" ht="11.25" hidden="false" customHeight="true" outlineLevel="0" collapsed="false">
      <c r="A1341" s="55" t="s">
        <v>2243</v>
      </c>
      <c r="B1341" s="55" t="s">
        <v>16</v>
      </c>
      <c r="C1341" s="55" t="s">
        <v>3319</v>
      </c>
      <c r="D1341" s="55" t="s">
        <v>3320</v>
      </c>
      <c r="E1341" s="55" t="s">
        <v>3321</v>
      </c>
      <c r="F1341" s="55" t="s">
        <v>2470</v>
      </c>
      <c r="I1341" s="55" t="s">
        <v>904</v>
      </c>
    </row>
    <row r="1342" customFormat="false" ht="11.25" hidden="false" customHeight="true" outlineLevel="0" collapsed="false">
      <c r="A1342" s="55" t="s">
        <v>2243</v>
      </c>
      <c r="B1342" s="55" t="s">
        <v>16</v>
      </c>
      <c r="C1342" s="55" t="s">
        <v>4490</v>
      </c>
      <c r="D1342" s="55" t="s">
        <v>4491</v>
      </c>
      <c r="E1342" s="55" t="s">
        <v>4492</v>
      </c>
      <c r="F1342" s="55" t="s">
        <v>4493</v>
      </c>
      <c r="I1342" s="55" t="s">
        <v>904</v>
      </c>
    </row>
    <row r="1343" customFormat="false" ht="11.25" hidden="false" customHeight="true" outlineLevel="0" collapsed="false">
      <c r="A1343" s="55" t="s">
        <v>2243</v>
      </c>
      <c r="B1343" s="55" t="s">
        <v>16</v>
      </c>
      <c r="C1343" s="55" t="s">
        <v>4668</v>
      </c>
      <c r="D1343" s="55" t="s">
        <v>4669</v>
      </c>
      <c r="E1343" s="55" t="s">
        <v>4670</v>
      </c>
      <c r="F1343" s="55" t="s">
        <v>2247</v>
      </c>
      <c r="I1343" s="55" t="s">
        <v>904</v>
      </c>
    </row>
    <row r="1344" customFormat="false" ht="11.25" hidden="false" customHeight="true" outlineLevel="0" collapsed="false">
      <c r="A1344" s="55" t="s">
        <v>2243</v>
      </c>
      <c r="B1344" s="55" t="s">
        <v>16</v>
      </c>
      <c r="C1344" s="55" t="s">
        <v>3331</v>
      </c>
      <c r="D1344" s="55" t="s">
        <v>3332</v>
      </c>
      <c r="E1344" s="55" t="s">
        <v>3333</v>
      </c>
      <c r="F1344" s="55" t="s">
        <v>2672</v>
      </c>
      <c r="I1344" s="55" t="s">
        <v>904</v>
      </c>
    </row>
    <row r="1345" customFormat="false" ht="11.25" hidden="false" customHeight="true" outlineLevel="0" collapsed="false">
      <c r="A1345" s="55" t="s">
        <v>2243</v>
      </c>
      <c r="B1345" s="55" t="s">
        <v>16</v>
      </c>
      <c r="C1345" s="55" t="s">
        <v>3337</v>
      </c>
      <c r="D1345" s="55" t="s">
        <v>3338</v>
      </c>
      <c r="E1345" s="55" t="s">
        <v>3339</v>
      </c>
      <c r="F1345" s="55" t="s">
        <v>2566</v>
      </c>
      <c r="I1345" s="55" t="s">
        <v>904</v>
      </c>
    </row>
    <row r="1346" customFormat="false" ht="11.25" hidden="false" customHeight="true" outlineLevel="0" collapsed="false">
      <c r="A1346" s="55" t="s">
        <v>2243</v>
      </c>
      <c r="B1346" s="55" t="s">
        <v>16</v>
      </c>
      <c r="C1346" s="55" t="s">
        <v>4494</v>
      </c>
      <c r="D1346" s="55" t="s">
        <v>4495</v>
      </c>
      <c r="E1346" s="55" t="s">
        <v>4496</v>
      </c>
      <c r="F1346" s="55" t="s">
        <v>2247</v>
      </c>
      <c r="I1346" s="55" t="s">
        <v>904</v>
      </c>
    </row>
    <row r="1347" customFormat="false" ht="11.25" hidden="false" customHeight="true" outlineLevel="0" collapsed="false">
      <c r="A1347" s="55" t="s">
        <v>2243</v>
      </c>
      <c r="B1347" s="55" t="s">
        <v>16</v>
      </c>
      <c r="C1347" s="55" t="s">
        <v>3383</v>
      </c>
      <c r="D1347" s="55" t="s">
        <v>3384</v>
      </c>
      <c r="E1347" s="55" t="s">
        <v>3385</v>
      </c>
      <c r="F1347" s="55" t="s">
        <v>2283</v>
      </c>
      <c r="I1347" s="55" t="s">
        <v>904</v>
      </c>
    </row>
    <row r="1348" customFormat="false" ht="11.25" hidden="false" customHeight="true" outlineLevel="0" collapsed="false">
      <c r="A1348" s="55" t="s">
        <v>2243</v>
      </c>
      <c r="B1348" s="55" t="s">
        <v>16</v>
      </c>
      <c r="C1348" s="55" t="s">
        <v>4500</v>
      </c>
      <c r="D1348" s="55" t="s">
        <v>4501</v>
      </c>
      <c r="E1348" s="55" t="s">
        <v>4502</v>
      </c>
      <c r="F1348" s="55" t="s">
        <v>2247</v>
      </c>
      <c r="I1348" s="55" t="s">
        <v>904</v>
      </c>
    </row>
    <row r="1349" customFormat="false" ht="11.25" hidden="false" customHeight="true" outlineLevel="0" collapsed="false">
      <c r="A1349" s="55" t="s">
        <v>2243</v>
      </c>
      <c r="B1349" s="55" t="s">
        <v>16</v>
      </c>
      <c r="C1349" s="55" t="s">
        <v>3398</v>
      </c>
      <c r="D1349" s="55" t="s">
        <v>3399</v>
      </c>
      <c r="E1349" s="55" t="s">
        <v>3400</v>
      </c>
      <c r="F1349" s="55" t="s">
        <v>2318</v>
      </c>
      <c r="I1349" s="55" t="s">
        <v>904</v>
      </c>
    </row>
    <row r="1350" customFormat="false" ht="11.25" hidden="false" customHeight="true" outlineLevel="0" collapsed="false">
      <c r="A1350" s="55" t="s">
        <v>2243</v>
      </c>
      <c r="B1350" s="55" t="s">
        <v>16</v>
      </c>
      <c r="C1350" s="55" t="s">
        <v>4506</v>
      </c>
      <c r="D1350" s="55" t="s">
        <v>4507</v>
      </c>
      <c r="E1350" s="55" t="s">
        <v>4508</v>
      </c>
      <c r="F1350" s="55" t="s">
        <v>2318</v>
      </c>
      <c r="I1350" s="55" t="s">
        <v>904</v>
      </c>
    </row>
    <row r="1351" customFormat="false" ht="11.25" hidden="false" customHeight="true" outlineLevel="0" collapsed="false">
      <c r="A1351" s="55" t="s">
        <v>2243</v>
      </c>
      <c r="B1351" s="55" t="s">
        <v>16</v>
      </c>
      <c r="C1351" s="55" t="s">
        <v>4671</v>
      </c>
      <c r="D1351" s="55" t="s">
        <v>4672</v>
      </c>
      <c r="E1351" s="55" t="s">
        <v>4673</v>
      </c>
      <c r="F1351" s="55" t="s">
        <v>2566</v>
      </c>
      <c r="I1351" s="55" t="s">
        <v>904</v>
      </c>
    </row>
    <row r="1352" customFormat="false" ht="11.25" hidden="false" customHeight="true" outlineLevel="0" collapsed="false">
      <c r="A1352" s="55" t="s">
        <v>2243</v>
      </c>
      <c r="B1352" s="55" t="s">
        <v>16</v>
      </c>
      <c r="C1352" s="55" t="s">
        <v>3484</v>
      </c>
      <c r="D1352" s="55" t="s">
        <v>3485</v>
      </c>
      <c r="E1352" s="55" t="s">
        <v>2255</v>
      </c>
      <c r="F1352" s="55" t="s">
        <v>2449</v>
      </c>
      <c r="I1352" s="55" t="s">
        <v>904</v>
      </c>
    </row>
    <row r="1353" customFormat="false" ht="11.25" hidden="false" customHeight="true" outlineLevel="0" collapsed="false">
      <c r="A1353" s="55" t="s">
        <v>2243</v>
      </c>
      <c r="B1353" s="55" t="s">
        <v>16</v>
      </c>
      <c r="C1353" s="55" t="s">
        <v>3486</v>
      </c>
      <c r="D1353" s="55" t="s">
        <v>3487</v>
      </c>
      <c r="E1353" s="55" t="s">
        <v>2297</v>
      </c>
      <c r="F1353" s="55" t="s">
        <v>3488</v>
      </c>
      <c r="G1353" s="55" t="s">
        <v>2302</v>
      </c>
      <c r="I1353" s="55" t="s">
        <v>904</v>
      </c>
    </row>
    <row r="1354" customFormat="false" ht="11.25" hidden="false" customHeight="true" outlineLevel="0" collapsed="false">
      <c r="A1354" s="55" t="s">
        <v>2243</v>
      </c>
      <c r="B1354" s="55" t="s">
        <v>16</v>
      </c>
      <c r="C1354" s="55" t="s">
        <v>4509</v>
      </c>
      <c r="D1354" s="55" t="s">
        <v>4510</v>
      </c>
      <c r="E1354" s="55" t="s">
        <v>4511</v>
      </c>
      <c r="F1354" s="55" t="s">
        <v>3802</v>
      </c>
      <c r="I1354" s="55" t="s">
        <v>904</v>
      </c>
    </row>
    <row r="1355" customFormat="false" ht="11.25" hidden="false" customHeight="true" outlineLevel="0" collapsed="false">
      <c r="A1355" s="55" t="s">
        <v>2243</v>
      </c>
      <c r="B1355" s="55" t="s">
        <v>16</v>
      </c>
      <c r="C1355" s="55" t="s">
        <v>4674</v>
      </c>
      <c r="D1355" s="55" t="s">
        <v>4675</v>
      </c>
      <c r="E1355" s="55" t="s">
        <v>4676</v>
      </c>
      <c r="F1355" s="55" t="s">
        <v>2371</v>
      </c>
      <c r="G1355" s="55" t="s">
        <v>4677</v>
      </c>
      <c r="I1355" s="55" t="s">
        <v>904</v>
      </c>
    </row>
    <row r="1356" customFormat="false" ht="11.25" hidden="false" customHeight="true" outlineLevel="0" collapsed="false">
      <c r="A1356" s="55" t="s">
        <v>2243</v>
      </c>
      <c r="B1356" s="55" t="s">
        <v>16</v>
      </c>
      <c r="C1356" s="55" t="s">
        <v>4512</v>
      </c>
      <c r="D1356" s="55" t="s">
        <v>4513</v>
      </c>
      <c r="E1356" s="55" t="s">
        <v>4514</v>
      </c>
      <c r="F1356" s="55" t="s">
        <v>2318</v>
      </c>
      <c r="I1356" s="55" t="s">
        <v>904</v>
      </c>
    </row>
    <row r="1357" customFormat="false" ht="11.25" hidden="false" customHeight="true" outlineLevel="0" collapsed="false">
      <c r="A1357" s="55" t="s">
        <v>2243</v>
      </c>
      <c r="B1357" s="55" t="s">
        <v>16</v>
      </c>
      <c r="C1357" s="55" t="s">
        <v>3510</v>
      </c>
      <c r="D1357" s="55" t="s">
        <v>3511</v>
      </c>
      <c r="E1357" s="55" t="s">
        <v>3512</v>
      </c>
      <c r="F1357" s="55" t="s">
        <v>2318</v>
      </c>
      <c r="G1357" s="55" t="s">
        <v>3513</v>
      </c>
      <c r="I1357" s="55" t="s">
        <v>904</v>
      </c>
    </row>
    <row r="1358" customFormat="false" ht="11.25" hidden="false" customHeight="true" outlineLevel="0" collapsed="false">
      <c r="A1358" s="55" t="s">
        <v>2243</v>
      </c>
      <c r="B1358" s="55" t="s">
        <v>16</v>
      </c>
      <c r="C1358" s="55" t="s">
        <v>4520</v>
      </c>
      <c r="D1358" s="55" t="s">
        <v>4521</v>
      </c>
      <c r="E1358" s="55" t="s">
        <v>4522</v>
      </c>
      <c r="F1358" s="55" t="s">
        <v>2470</v>
      </c>
      <c r="I1358" s="55" t="s">
        <v>904</v>
      </c>
    </row>
    <row r="1359" customFormat="false" ht="11.25" hidden="false" customHeight="true" outlineLevel="0" collapsed="false">
      <c r="A1359" s="55" t="s">
        <v>2243</v>
      </c>
      <c r="B1359" s="55" t="s">
        <v>16</v>
      </c>
      <c r="C1359" s="55" t="s">
        <v>3527</v>
      </c>
      <c r="D1359" s="55" t="s">
        <v>3528</v>
      </c>
      <c r="E1359" s="55" t="s">
        <v>3529</v>
      </c>
      <c r="F1359" s="55" t="s">
        <v>2716</v>
      </c>
      <c r="G1359" s="55" t="s">
        <v>3530</v>
      </c>
      <c r="I1359" s="55" t="s">
        <v>904</v>
      </c>
    </row>
    <row r="1360" customFormat="false" ht="11.25" hidden="false" customHeight="true" outlineLevel="0" collapsed="false">
      <c r="A1360" s="55" t="s">
        <v>2243</v>
      </c>
      <c r="B1360" s="55" t="s">
        <v>16</v>
      </c>
      <c r="C1360" s="55" t="s">
        <v>3531</v>
      </c>
      <c r="D1360" s="55" t="s">
        <v>3532</v>
      </c>
      <c r="E1360" s="55" t="s">
        <v>3533</v>
      </c>
      <c r="F1360" s="55" t="s">
        <v>2314</v>
      </c>
      <c r="G1360" s="55" t="s">
        <v>3534</v>
      </c>
      <c r="I1360" s="55" t="s">
        <v>904</v>
      </c>
    </row>
    <row r="1361" customFormat="false" ht="11.25" hidden="false" customHeight="true" outlineLevel="0" collapsed="false">
      <c r="A1361" s="55" t="s">
        <v>2243</v>
      </c>
      <c r="B1361" s="55" t="s">
        <v>16</v>
      </c>
      <c r="C1361" s="55" t="s">
        <v>3538</v>
      </c>
      <c r="D1361" s="55" t="s">
        <v>3539</v>
      </c>
      <c r="E1361" s="55" t="s">
        <v>3540</v>
      </c>
      <c r="F1361" s="55" t="s">
        <v>2470</v>
      </c>
      <c r="G1361" s="55" t="s">
        <v>3541</v>
      </c>
      <c r="I1361" s="55" t="s">
        <v>904</v>
      </c>
    </row>
    <row r="1362" customFormat="false" ht="11.25" hidden="false" customHeight="true" outlineLevel="0" collapsed="false">
      <c r="A1362" s="55" t="s">
        <v>2243</v>
      </c>
      <c r="B1362" s="55" t="s">
        <v>16</v>
      </c>
      <c r="C1362" s="55" t="s">
        <v>4678</v>
      </c>
      <c r="D1362" s="55" t="s">
        <v>4679</v>
      </c>
      <c r="E1362" s="55" t="s">
        <v>4680</v>
      </c>
      <c r="F1362" s="55" t="s">
        <v>2566</v>
      </c>
      <c r="G1362" s="55" t="s">
        <v>4681</v>
      </c>
      <c r="I1362" s="55" t="s">
        <v>904</v>
      </c>
    </row>
    <row r="1363" customFormat="false" ht="11.25" hidden="false" customHeight="true" outlineLevel="0" collapsed="false">
      <c r="A1363" s="55" t="s">
        <v>2243</v>
      </c>
      <c r="B1363" s="55" t="s">
        <v>16</v>
      </c>
      <c r="C1363" s="55" t="s">
        <v>3542</v>
      </c>
      <c r="D1363" s="55" t="s">
        <v>3543</v>
      </c>
      <c r="E1363" s="55" t="s">
        <v>3544</v>
      </c>
      <c r="F1363" s="55" t="s">
        <v>2672</v>
      </c>
      <c r="G1363" s="55" t="s">
        <v>3545</v>
      </c>
      <c r="I1363" s="55" t="s">
        <v>904</v>
      </c>
    </row>
    <row r="1364" customFormat="false" ht="11.25" hidden="false" customHeight="true" outlineLevel="0" collapsed="false">
      <c r="A1364" s="55" t="s">
        <v>2243</v>
      </c>
      <c r="B1364" s="55" t="s">
        <v>16</v>
      </c>
      <c r="C1364" s="55" t="s">
        <v>4531</v>
      </c>
      <c r="D1364" s="55" t="s">
        <v>4532</v>
      </c>
      <c r="E1364" s="55" t="s">
        <v>4533</v>
      </c>
      <c r="F1364" s="55" t="s">
        <v>2291</v>
      </c>
      <c r="I1364" s="55" t="s">
        <v>904</v>
      </c>
    </row>
    <row r="1365" customFormat="false" ht="11.25" hidden="false" customHeight="true" outlineLevel="0" collapsed="false">
      <c r="A1365" s="55" t="s">
        <v>2243</v>
      </c>
      <c r="B1365" s="55" t="s">
        <v>16</v>
      </c>
      <c r="C1365" s="55" t="s">
        <v>3552</v>
      </c>
      <c r="D1365" s="55" t="s">
        <v>3553</v>
      </c>
      <c r="E1365" s="55" t="s">
        <v>3554</v>
      </c>
      <c r="F1365" s="55" t="s">
        <v>2314</v>
      </c>
      <c r="I1365" s="55" t="s">
        <v>904</v>
      </c>
    </row>
    <row r="1366" customFormat="false" ht="11.25" hidden="false" customHeight="true" outlineLevel="0" collapsed="false">
      <c r="A1366" s="55" t="s">
        <v>2243</v>
      </c>
      <c r="B1366" s="55" t="s">
        <v>16</v>
      </c>
      <c r="C1366" s="55" t="s">
        <v>4534</v>
      </c>
      <c r="D1366" s="55" t="s">
        <v>4535</v>
      </c>
      <c r="E1366" s="55" t="s">
        <v>4536</v>
      </c>
      <c r="F1366" s="55" t="s">
        <v>2274</v>
      </c>
      <c r="G1366" s="55" t="s">
        <v>4537</v>
      </c>
      <c r="H1366" s="55" t="s">
        <v>4538</v>
      </c>
      <c r="I1366" s="55" t="s">
        <v>904</v>
      </c>
    </row>
    <row r="1367" customFormat="false" ht="11.25" hidden="false" customHeight="true" outlineLevel="0" collapsed="false">
      <c r="A1367" s="55" t="s">
        <v>2243</v>
      </c>
      <c r="B1367" s="55" t="s">
        <v>16</v>
      </c>
      <c r="C1367" s="55" t="s">
        <v>4539</v>
      </c>
      <c r="D1367" s="55" t="s">
        <v>4540</v>
      </c>
      <c r="E1367" s="55" t="s">
        <v>4541</v>
      </c>
      <c r="F1367" s="55" t="s">
        <v>2283</v>
      </c>
      <c r="G1367" s="55" t="s">
        <v>4542</v>
      </c>
      <c r="I1367" s="55" t="s">
        <v>904</v>
      </c>
    </row>
    <row r="1368" customFormat="false" ht="11.25" hidden="false" customHeight="true" outlineLevel="0" collapsed="false">
      <c r="A1368" s="55" t="s">
        <v>2243</v>
      </c>
      <c r="B1368" s="55" t="s">
        <v>16</v>
      </c>
      <c r="C1368" s="55" t="s">
        <v>4543</v>
      </c>
      <c r="D1368" s="55" t="s">
        <v>4544</v>
      </c>
      <c r="E1368" s="55" t="s">
        <v>4545</v>
      </c>
      <c r="F1368" s="55" t="s">
        <v>2347</v>
      </c>
      <c r="G1368" s="55" t="s">
        <v>4546</v>
      </c>
      <c r="I1368" s="55" t="s">
        <v>904</v>
      </c>
    </row>
    <row r="1369" customFormat="false" ht="11.25" hidden="false" customHeight="true" outlineLevel="0" collapsed="false">
      <c r="A1369" s="55" t="s">
        <v>2243</v>
      </c>
      <c r="B1369" s="55" t="s">
        <v>16</v>
      </c>
      <c r="C1369" s="55" t="s">
        <v>3558</v>
      </c>
      <c r="D1369" s="55" t="s">
        <v>3559</v>
      </c>
      <c r="E1369" s="55" t="s">
        <v>3560</v>
      </c>
      <c r="F1369" s="55" t="s">
        <v>3561</v>
      </c>
      <c r="I1369" s="55" t="s">
        <v>904</v>
      </c>
    </row>
    <row r="1370" customFormat="false" ht="11.25" hidden="false" customHeight="true" outlineLevel="0" collapsed="false">
      <c r="A1370" s="55" t="s">
        <v>2243</v>
      </c>
      <c r="B1370" s="55" t="s">
        <v>16</v>
      </c>
      <c r="C1370" s="55" t="s">
        <v>4547</v>
      </c>
      <c r="D1370" s="55" t="s">
        <v>4548</v>
      </c>
      <c r="E1370" s="55" t="s">
        <v>3560</v>
      </c>
      <c r="F1370" s="55" t="s">
        <v>4549</v>
      </c>
      <c r="G1370" s="55" t="s">
        <v>4550</v>
      </c>
      <c r="I1370" s="55" t="s">
        <v>904</v>
      </c>
    </row>
    <row r="1371" customFormat="false" ht="11.25" hidden="false" customHeight="true" outlineLevel="0" collapsed="false">
      <c r="A1371" s="55" t="s">
        <v>2243</v>
      </c>
      <c r="B1371" s="55" t="s">
        <v>16</v>
      </c>
      <c r="C1371" s="55" t="s">
        <v>3576</v>
      </c>
      <c r="D1371" s="55" t="s">
        <v>3577</v>
      </c>
      <c r="E1371" s="55" t="s">
        <v>3560</v>
      </c>
      <c r="F1371" s="55" t="s">
        <v>3578</v>
      </c>
      <c r="I1371" s="55" t="s">
        <v>904</v>
      </c>
    </row>
    <row r="1372" customFormat="false" ht="11.25" hidden="false" customHeight="true" outlineLevel="0" collapsed="false">
      <c r="A1372" s="55" t="s">
        <v>2243</v>
      </c>
      <c r="B1372" s="55" t="s">
        <v>16</v>
      </c>
      <c r="C1372" s="55" t="s">
        <v>3591</v>
      </c>
      <c r="D1372" s="55" t="s">
        <v>3592</v>
      </c>
      <c r="E1372" s="55" t="s">
        <v>3593</v>
      </c>
      <c r="F1372" s="55" t="s">
        <v>2653</v>
      </c>
      <c r="G1372" s="55" t="s">
        <v>3594</v>
      </c>
      <c r="I1372" s="55" t="s">
        <v>904</v>
      </c>
    </row>
    <row r="1373" customFormat="false" ht="11.25" hidden="false" customHeight="true" outlineLevel="0" collapsed="false">
      <c r="A1373" s="55" t="s">
        <v>2243</v>
      </c>
      <c r="B1373" s="55" t="s">
        <v>16</v>
      </c>
      <c r="C1373" s="55" t="s">
        <v>3595</v>
      </c>
      <c r="D1373" s="55" t="s">
        <v>3596</v>
      </c>
      <c r="E1373" s="55" t="s">
        <v>3593</v>
      </c>
      <c r="F1373" s="55" t="s">
        <v>3597</v>
      </c>
      <c r="G1373" s="55" t="s">
        <v>3594</v>
      </c>
      <c r="I1373" s="55" t="s">
        <v>904</v>
      </c>
    </row>
    <row r="1374" customFormat="false" ht="11.25" hidden="false" customHeight="true" outlineLevel="0" collapsed="false">
      <c r="A1374" s="55" t="s">
        <v>2243</v>
      </c>
      <c r="B1374" s="55" t="s">
        <v>16</v>
      </c>
      <c r="C1374" s="55" t="s">
        <v>3626</v>
      </c>
      <c r="D1374" s="55" t="s">
        <v>3627</v>
      </c>
      <c r="E1374" s="55" t="s">
        <v>3628</v>
      </c>
      <c r="F1374" s="55" t="s">
        <v>2247</v>
      </c>
      <c r="G1374" s="55" t="s">
        <v>2717</v>
      </c>
      <c r="I1374" s="55" t="s">
        <v>904</v>
      </c>
    </row>
    <row r="1375" customFormat="false" ht="11.25" hidden="false" customHeight="true" outlineLevel="0" collapsed="false">
      <c r="A1375" s="55" t="s">
        <v>2243</v>
      </c>
      <c r="B1375" s="55" t="s">
        <v>16</v>
      </c>
      <c r="C1375" s="55" t="s">
        <v>3639</v>
      </c>
      <c r="D1375" s="55" t="s">
        <v>3640</v>
      </c>
      <c r="E1375" s="55" t="s">
        <v>3641</v>
      </c>
      <c r="F1375" s="55" t="s">
        <v>3642</v>
      </c>
      <c r="I1375" s="55" t="s">
        <v>904</v>
      </c>
    </row>
    <row r="1376" customFormat="false" ht="11.25" hidden="false" customHeight="true" outlineLevel="0" collapsed="false">
      <c r="A1376" s="55" t="s">
        <v>2243</v>
      </c>
      <c r="B1376" s="55" t="s">
        <v>16</v>
      </c>
      <c r="C1376" s="55" t="s">
        <v>4682</v>
      </c>
      <c r="D1376" s="55" t="s">
        <v>4683</v>
      </c>
      <c r="E1376" s="55" t="s">
        <v>4684</v>
      </c>
      <c r="F1376" s="55" t="s">
        <v>3728</v>
      </c>
      <c r="I1376" s="55" t="s">
        <v>904</v>
      </c>
    </row>
    <row r="1377" customFormat="false" ht="11.25" hidden="false" customHeight="true" outlineLevel="0" collapsed="false">
      <c r="A1377" s="55" t="s">
        <v>2243</v>
      </c>
      <c r="B1377" s="55" t="s">
        <v>16</v>
      </c>
      <c r="C1377" s="55" t="s">
        <v>3647</v>
      </c>
      <c r="D1377" s="55" t="s">
        <v>3648</v>
      </c>
      <c r="E1377" s="55" t="s">
        <v>3649</v>
      </c>
      <c r="F1377" s="55" t="s">
        <v>2247</v>
      </c>
      <c r="I1377" s="55" t="s">
        <v>904</v>
      </c>
    </row>
    <row r="1378" customFormat="false" ht="11.25" hidden="false" customHeight="true" outlineLevel="0" collapsed="false">
      <c r="A1378" s="55" t="s">
        <v>2243</v>
      </c>
      <c r="B1378" s="55" t="s">
        <v>16</v>
      </c>
      <c r="C1378" s="55" t="s">
        <v>3650</v>
      </c>
      <c r="D1378" s="55" t="s">
        <v>3651</v>
      </c>
      <c r="E1378" s="55" t="s">
        <v>3652</v>
      </c>
      <c r="F1378" s="55" t="s">
        <v>2318</v>
      </c>
      <c r="G1378" s="55" t="s">
        <v>3653</v>
      </c>
      <c r="I1378" s="55" t="s">
        <v>904</v>
      </c>
    </row>
    <row r="1379" customFormat="false" ht="11.25" hidden="false" customHeight="true" outlineLevel="0" collapsed="false">
      <c r="A1379" s="55" t="s">
        <v>2243</v>
      </c>
      <c r="B1379" s="55" t="s">
        <v>16</v>
      </c>
      <c r="C1379" s="55" t="s">
        <v>4555</v>
      </c>
      <c r="D1379" s="55" t="s">
        <v>4556</v>
      </c>
      <c r="E1379" s="55" t="s">
        <v>4557</v>
      </c>
      <c r="F1379" s="55" t="s">
        <v>2318</v>
      </c>
      <c r="I1379" s="55" t="s">
        <v>904</v>
      </c>
    </row>
    <row r="1380" customFormat="false" ht="11.25" hidden="false" customHeight="true" outlineLevel="0" collapsed="false">
      <c r="A1380" s="55" t="s">
        <v>2243</v>
      </c>
      <c r="B1380" s="55" t="s">
        <v>16</v>
      </c>
      <c r="C1380" s="55" t="s">
        <v>3658</v>
      </c>
      <c r="D1380" s="55" t="s">
        <v>3659</v>
      </c>
      <c r="E1380" s="55" t="s">
        <v>3660</v>
      </c>
      <c r="F1380" s="55" t="s">
        <v>2371</v>
      </c>
      <c r="I1380" s="55" t="s">
        <v>904</v>
      </c>
    </row>
    <row r="1381" customFormat="false" ht="11.25" hidden="false" customHeight="true" outlineLevel="0" collapsed="false">
      <c r="A1381" s="55" t="s">
        <v>2243</v>
      </c>
      <c r="B1381" s="55" t="s">
        <v>16</v>
      </c>
      <c r="C1381" s="55" t="s">
        <v>3664</v>
      </c>
      <c r="D1381" s="55" t="s">
        <v>3665</v>
      </c>
      <c r="E1381" s="55" t="s">
        <v>3666</v>
      </c>
      <c r="F1381" s="55" t="s">
        <v>2314</v>
      </c>
      <c r="I1381" s="55" t="s">
        <v>904</v>
      </c>
    </row>
    <row r="1382" customFormat="false" ht="11.25" hidden="false" customHeight="true" outlineLevel="0" collapsed="false">
      <c r="A1382" s="55" t="s">
        <v>2243</v>
      </c>
      <c r="B1382" s="55" t="s">
        <v>16</v>
      </c>
      <c r="C1382" s="55" t="s">
        <v>3677</v>
      </c>
      <c r="D1382" s="55" t="s">
        <v>3678</v>
      </c>
      <c r="E1382" s="55" t="s">
        <v>3679</v>
      </c>
      <c r="F1382" s="55" t="s">
        <v>2470</v>
      </c>
      <c r="I1382" s="55" t="s">
        <v>904</v>
      </c>
    </row>
    <row r="1383" customFormat="false" ht="11.25" hidden="false" customHeight="true" outlineLevel="0" collapsed="false">
      <c r="A1383" s="55" t="s">
        <v>2243</v>
      </c>
      <c r="B1383" s="55" t="s">
        <v>16</v>
      </c>
      <c r="C1383" s="55" t="s">
        <v>3690</v>
      </c>
      <c r="D1383" s="55" t="s">
        <v>3691</v>
      </c>
      <c r="E1383" s="55" t="s">
        <v>3692</v>
      </c>
      <c r="F1383" s="55" t="s">
        <v>2371</v>
      </c>
      <c r="G1383" s="55" t="s">
        <v>3693</v>
      </c>
      <c r="I1383" s="55" t="s">
        <v>904</v>
      </c>
    </row>
    <row r="1384" customFormat="false" ht="11.25" hidden="false" customHeight="true" outlineLevel="0" collapsed="false">
      <c r="A1384" s="55" t="s">
        <v>2243</v>
      </c>
      <c r="B1384" s="55" t="s">
        <v>16</v>
      </c>
      <c r="C1384" s="55" t="s">
        <v>4685</v>
      </c>
      <c r="D1384" s="55" t="s">
        <v>4686</v>
      </c>
      <c r="E1384" s="55" t="s">
        <v>4687</v>
      </c>
      <c r="F1384" s="55" t="s">
        <v>2283</v>
      </c>
      <c r="I1384" s="55" t="s">
        <v>904</v>
      </c>
    </row>
    <row r="1385" customFormat="false" ht="11.25" hidden="false" customHeight="true" outlineLevel="0" collapsed="false">
      <c r="A1385" s="55" t="s">
        <v>2243</v>
      </c>
      <c r="B1385" s="55" t="s">
        <v>16</v>
      </c>
      <c r="C1385" s="55" t="s">
        <v>4558</v>
      </c>
      <c r="D1385" s="55" t="s">
        <v>4559</v>
      </c>
      <c r="E1385" s="55" t="s">
        <v>4560</v>
      </c>
      <c r="F1385" s="55" t="s">
        <v>3130</v>
      </c>
      <c r="G1385" s="55" t="s">
        <v>3053</v>
      </c>
      <c r="I1385" s="55" t="s">
        <v>904</v>
      </c>
    </row>
    <row r="1386" customFormat="false" ht="11.25" hidden="false" customHeight="true" outlineLevel="0" collapsed="false">
      <c r="A1386" s="55" t="s">
        <v>2243</v>
      </c>
      <c r="B1386" s="55" t="s">
        <v>16</v>
      </c>
      <c r="C1386" s="55" t="s">
        <v>4688</v>
      </c>
      <c r="D1386" s="55" t="s">
        <v>4689</v>
      </c>
      <c r="E1386" s="55" t="s">
        <v>4690</v>
      </c>
      <c r="F1386" s="55" t="s">
        <v>2672</v>
      </c>
      <c r="I1386" s="55" t="s">
        <v>904</v>
      </c>
    </row>
    <row r="1387" customFormat="false" ht="11.25" hidden="false" customHeight="true" outlineLevel="0" collapsed="false">
      <c r="A1387" s="55" t="s">
        <v>2243</v>
      </c>
      <c r="B1387" s="55" t="s">
        <v>16</v>
      </c>
      <c r="C1387" s="55" t="s">
        <v>4561</v>
      </c>
      <c r="D1387" s="55" t="s">
        <v>4562</v>
      </c>
      <c r="E1387" s="55" t="s">
        <v>4563</v>
      </c>
      <c r="F1387" s="55" t="s">
        <v>2566</v>
      </c>
      <c r="G1387" s="55" t="s">
        <v>4564</v>
      </c>
      <c r="I1387" s="55" t="s">
        <v>904</v>
      </c>
    </row>
    <row r="1388" customFormat="false" ht="11.25" hidden="false" customHeight="true" outlineLevel="0" collapsed="false">
      <c r="A1388" s="55" t="s">
        <v>2243</v>
      </c>
      <c r="B1388" s="55" t="s">
        <v>16</v>
      </c>
      <c r="C1388" s="55" t="s">
        <v>3736</v>
      </c>
      <c r="D1388" s="55" t="s">
        <v>3737</v>
      </c>
      <c r="E1388" s="55" t="s">
        <v>3738</v>
      </c>
      <c r="F1388" s="55" t="s">
        <v>2318</v>
      </c>
      <c r="I1388" s="55" t="s">
        <v>904</v>
      </c>
    </row>
    <row r="1389" customFormat="false" ht="11.25" hidden="false" customHeight="true" outlineLevel="0" collapsed="false">
      <c r="A1389" s="55" t="s">
        <v>2243</v>
      </c>
      <c r="B1389" s="55" t="s">
        <v>16</v>
      </c>
      <c r="C1389" s="55" t="s">
        <v>4691</v>
      </c>
      <c r="D1389" s="55" t="s">
        <v>4692</v>
      </c>
      <c r="E1389" s="55" t="s">
        <v>4693</v>
      </c>
      <c r="F1389" s="55" t="s">
        <v>3728</v>
      </c>
      <c r="I1389" s="55" t="s">
        <v>904</v>
      </c>
    </row>
    <row r="1390" customFormat="false" ht="11.25" hidden="false" customHeight="true" outlineLevel="0" collapsed="false">
      <c r="A1390" s="55" t="s">
        <v>2243</v>
      </c>
      <c r="B1390" s="55" t="s">
        <v>16</v>
      </c>
      <c r="C1390" s="55" t="s">
        <v>3762</v>
      </c>
      <c r="D1390" s="55" t="s">
        <v>3763</v>
      </c>
      <c r="E1390" s="55" t="s">
        <v>3764</v>
      </c>
      <c r="F1390" s="55" t="s">
        <v>2329</v>
      </c>
      <c r="I1390" s="55" t="s">
        <v>904</v>
      </c>
    </row>
    <row r="1391" customFormat="false" ht="11.25" hidden="false" customHeight="true" outlineLevel="0" collapsed="false">
      <c r="A1391" s="55" t="s">
        <v>2243</v>
      </c>
      <c r="B1391" s="55" t="s">
        <v>16</v>
      </c>
      <c r="C1391" s="55" t="s">
        <v>3765</v>
      </c>
      <c r="D1391" s="55" t="s">
        <v>3766</v>
      </c>
      <c r="E1391" s="55" t="s">
        <v>3767</v>
      </c>
      <c r="F1391" s="55" t="s">
        <v>2757</v>
      </c>
      <c r="G1391" s="55" t="s">
        <v>3768</v>
      </c>
      <c r="I1391" s="55" t="s">
        <v>904</v>
      </c>
    </row>
    <row r="1392" customFormat="false" ht="11.25" hidden="false" customHeight="true" outlineLevel="0" collapsed="false">
      <c r="A1392" s="55" t="s">
        <v>2243</v>
      </c>
      <c r="B1392" s="55" t="s">
        <v>16</v>
      </c>
      <c r="C1392" s="55" t="s">
        <v>4694</v>
      </c>
      <c r="D1392" s="55" t="s">
        <v>4695</v>
      </c>
      <c r="E1392" s="55" t="s">
        <v>4696</v>
      </c>
      <c r="F1392" s="55" t="s">
        <v>3130</v>
      </c>
      <c r="G1392" s="55" t="s">
        <v>4697</v>
      </c>
      <c r="I1392" s="55" t="s">
        <v>904</v>
      </c>
    </row>
    <row r="1393" customFormat="false" ht="11.25" hidden="false" customHeight="true" outlineLevel="0" collapsed="false">
      <c r="A1393" s="55" t="s">
        <v>2243</v>
      </c>
      <c r="B1393" s="55" t="s">
        <v>16</v>
      </c>
      <c r="C1393" s="55" t="s">
        <v>3784</v>
      </c>
      <c r="D1393" s="55" t="s">
        <v>3785</v>
      </c>
      <c r="E1393" s="55" t="s">
        <v>3786</v>
      </c>
      <c r="F1393" s="55" t="s">
        <v>2314</v>
      </c>
      <c r="G1393" s="55" t="s">
        <v>3787</v>
      </c>
      <c r="I1393" s="55" t="s">
        <v>904</v>
      </c>
    </row>
    <row r="1394" customFormat="false" ht="11.25" hidden="false" customHeight="true" outlineLevel="0" collapsed="false">
      <c r="A1394" s="55" t="s">
        <v>2243</v>
      </c>
      <c r="B1394" s="55" t="s">
        <v>16</v>
      </c>
      <c r="C1394" s="55" t="s">
        <v>3795</v>
      </c>
      <c r="D1394" s="55" t="s">
        <v>3796</v>
      </c>
      <c r="E1394" s="55" t="s">
        <v>3797</v>
      </c>
      <c r="F1394" s="55" t="s">
        <v>2314</v>
      </c>
      <c r="G1394" s="55" t="s">
        <v>3798</v>
      </c>
      <c r="I1394" s="55" t="s">
        <v>904</v>
      </c>
    </row>
    <row r="1395" customFormat="false" ht="11.25" hidden="false" customHeight="true" outlineLevel="0" collapsed="false">
      <c r="A1395" s="55" t="s">
        <v>2243</v>
      </c>
      <c r="B1395" s="55" t="s">
        <v>16</v>
      </c>
      <c r="C1395" s="55" t="s">
        <v>4698</v>
      </c>
      <c r="D1395" s="55" t="s">
        <v>4699</v>
      </c>
      <c r="E1395" s="55" t="s">
        <v>4700</v>
      </c>
      <c r="F1395" s="55" t="s">
        <v>2274</v>
      </c>
      <c r="I1395" s="55" t="s">
        <v>904</v>
      </c>
    </row>
    <row r="1396" customFormat="false" ht="11.25" hidden="false" customHeight="true" outlineLevel="0" collapsed="false">
      <c r="A1396" s="55" t="s">
        <v>2243</v>
      </c>
      <c r="B1396" s="55" t="s">
        <v>16</v>
      </c>
      <c r="C1396" s="55" t="s">
        <v>4565</v>
      </c>
      <c r="D1396" s="55" t="s">
        <v>4566</v>
      </c>
      <c r="E1396" s="55" t="s">
        <v>4567</v>
      </c>
      <c r="F1396" s="55" t="s">
        <v>2329</v>
      </c>
      <c r="G1396" s="55" t="s">
        <v>4568</v>
      </c>
      <c r="I1396" s="55" t="s">
        <v>904</v>
      </c>
    </row>
    <row r="1397" customFormat="false" ht="11.25" hidden="false" customHeight="true" outlineLevel="0" collapsed="false">
      <c r="A1397" s="55" t="s">
        <v>2243</v>
      </c>
      <c r="B1397" s="55" t="s">
        <v>16</v>
      </c>
      <c r="C1397" s="55" t="s">
        <v>3861</v>
      </c>
      <c r="D1397" s="55" t="s">
        <v>3862</v>
      </c>
      <c r="E1397" s="55" t="s">
        <v>3863</v>
      </c>
      <c r="F1397" s="55" t="s">
        <v>2470</v>
      </c>
      <c r="G1397" s="55" t="s">
        <v>3864</v>
      </c>
      <c r="I1397" s="55" t="s">
        <v>904</v>
      </c>
    </row>
    <row r="1398" customFormat="false" ht="11.25" hidden="false" customHeight="true" outlineLevel="0" collapsed="false">
      <c r="A1398" s="55" t="s">
        <v>2243</v>
      </c>
      <c r="B1398" s="55" t="s">
        <v>16</v>
      </c>
      <c r="C1398" s="55" t="s">
        <v>3871</v>
      </c>
      <c r="D1398" s="55" t="s">
        <v>3872</v>
      </c>
      <c r="E1398" s="55" t="s">
        <v>3873</v>
      </c>
      <c r="F1398" s="55" t="s">
        <v>2247</v>
      </c>
      <c r="I1398" s="55" t="s">
        <v>904</v>
      </c>
    </row>
    <row r="1399" customFormat="false" ht="11.25" hidden="false" customHeight="true" outlineLevel="0" collapsed="false">
      <c r="A1399" s="55" t="s">
        <v>2243</v>
      </c>
      <c r="B1399" s="55" t="s">
        <v>16</v>
      </c>
      <c r="C1399" s="55" t="s">
        <v>3874</v>
      </c>
      <c r="D1399" s="55" t="s">
        <v>3875</v>
      </c>
      <c r="E1399" s="55" t="s">
        <v>3876</v>
      </c>
      <c r="F1399" s="55" t="s">
        <v>2314</v>
      </c>
      <c r="G1399" s="55" t="s">
        <v>3877</v>
      </c>
      <c r="I1399" s="55" t="s">
        <v>904</v>
      </c>
    </row>
    <row r="1400" customFormat="false" ht="11.25" hidden="false" customHeight="true" outlineLevel="0" collapsed="false">
      <c r="A1400" s="55" t="s">
        <v>2243</v>
      </c>
      <c r="B1400" s="55" t="s">
        <v>16</v>
      </c>
      <c r="C1400" s="55" t="s">
        <v>3889</v>
      </c>
      <c r="D1400" s="55" t="s">
        <v>3890</v>
      </c>
      <c r="E1400" s="55" t="s">
        <v>3891</v>
      </c>
      <c r="F1400" s="55" t="s">
        <v>2558</v>
      </c>
      <c r="G1400" s="55" t="s">
        <v>3892</v>
      </c>
      <c r="I1400" s="55" t="s">
        <v>904</v>
      </c>
    </row>
    <row r="1401" customFormat="false" ht="11.25" hidden="false" customHeight="true" outlineLevel="0" collapsed="false">
      <c r="A1401" s="55" t="s">
        <v>2243</v>
      </c>
      <c r="B1401" s="55" t="s">
        <v>16</v>
      </c>
      <c r="C1401" s="55" t="s">
        <v>3893</v>
      </c>
      <c r="D1401" s="55" t="s">
        <v>3894</v>
      </c>
      <c r="E1401" s="55" t="s">
        <v>3895</v>
      </c>
      <c r="F1401" s="55" t="s">
        <v>2291</v>
      </c>
      <c r="I1401" s="55" t="s">
        <v>904</v>
      </c>
    </row>
    <row r="1402" customFormat="false" ht="11.25" hidden="false" customHeight="true" outlineLevel="0" collapsed="false">
      <c r="A1402" s="55" t="s">
        <v>2243</v>
      </c>
      <c r="B1402" s="55" t="s">
        <v>16</v>
      </c>
      <c r="C1402" s="55" t="s">
        <v>4701</v>
      </c>
      <c r="D1402" s="55" t="s">
        <v>4702</v>
      </c>
      <c r="E1402" s="55" t="s">
        <v>4703</v>
      </c>
      <c r="F1402" s="55" t="s">
        <v>2329</v>
      </c>
      <c r="G1402" s="55" t="s">
        <v>4681</v>
      </c>
      <c r="I1402" s="55" t="s">
        <v>904</v>
      </c>
    </row>
    <row r="1403" customFormat="false" ht="11.25" hidden="false" customHeight="true" outlineLevel="0" collapsed="false">
      <c r="A1403" s="55" t="s">
        <v>2243</v>
      </c>
      <c r="B1403" s="55" t="s">
        <v>16</v>
      </c>
      <c r="C1403" s="55" t="s">
        <v>4704</v>
      </c>
      <c r="D1403" s="55" t="s">
        <v>4705</v>
      </c>
      <c r="E1403" s="55" t="s">
        <v>4706</v>
      </c>
      <c r="F1403" s="55" t="s">
        <v>2396</v>
      </c>
      <c r="I1403" s="55" t="s">
        <v>904</v>
      </c>
    </row>
    <row r="1404" customFormat="false" ht="11.25" hidden="false" customHeight="true" outlineLevel="0" collapsed="false">
      <c r="A1404" s="55" t="s">
        <v>2243</v>
      </c>
      <c r="B1404" s="55" t="s">
        <v>16</v>
      </c>
      <c r="C1404" s="55" t="s">
        <v>3938</v>
      </c>
      <c r="D1404" s="55" t="s">
        <v>3939</v>
      </c>
      <c r="E1404" s="55" t="s">
        <v>3940</v>
      </c>
      <c r="F1404" s="55" t="s">
        <v>2314</v>
      </c>
      <c r="I1404" s="55" t="s">
        <v>904</v>
      </c>
    </row>
    <row r="1405" customFormat="false" ht="11.25" hidden="false" customHeight="true" outlineLevel="0" collapsed="false">
      <c r="A1405" s="55" t="s">
        <v>2243</v>
      </c>
      <c r="B1405" s="55" t="s">
        <v>16</v>
      </c>
      <c r="C1405" s="55" t="s">
        <v>4573</v>
      </c>
      <c r="D1405" s="55" t="s">
        <v>4574</v>
      </c>
      <c r="E1405" s="55" t="s">
        <v>4575</v>
      </c>
      <c r="F1405" s="55" t="s">
        <v>3708</v>
      </c>
      <c r="G1405" s="55" t="s">
        <v>4576</v>
      </c>
      <c r="I1405" s="55" t="s">
        <v>904</v>
      </c>
    </row>
    <row r="1406" customFormat="false" ht="11.25" hidden="false" customHeight="true" outlineLevel="0" collapsed="false">
      <c r="A1406" s="55" t="s">
        <v>2243</v>
      </c>
      <c r="B1406" s="55" t="s">
        <v>16</v>
      </c>
      <c r="C1406" s="55" t="s">
        <v>4707</v>
      </c>
      <c r="D1406" s="55" t="s">
        <v>4708</v>
      </c>
      <c r="E1406" s="55" t="s">
        <v>4709</v>
      </c>
      <c r="F1406" s="55" t="s">
        <v>2672</v>
      </c>
      <c r="G1406" s="55" t="s">
        <v>4710</v>
      </c>
      <c r="I1406" s="55" t="s">
        <v>904</v>
      </c>
    </row>
    <row r="1407" customFormat="false" ht="11.25" hidden="false" customHeight="true" outlineLevel="0" collapsed="false">
      <c r="A1407" s="55" t="s">
        <v>2243</v>
      </c>
      <c r="B1407" s="55" t="s">
        <v>16</v>
      </c>
      <c r="C1407" s="55" t="s">
        <v>4577</v>
      </c>
      <c r="D1407" s="55" t="s">
        <v>4578</v>
      </c>
      <c r="E1407" s="55" t="s">
        <v>4579</v>
      </c>
      <c r="F1407" s="55" t="s">
        <v>2347</v>
      </c>
      <c r="I1407" s="55" t="s">
        <v>904</v>
      </c>
    </row>
    <row r="1408" customFormat="false" ht="11.25" hidden="false" customHeight="true" outlineLevel="0" collapsed="false">
      <c r="A1408" s="55" t="s">
        <v>2243</v>
      </c>
      <c r="B1408" s="55" t="s">
        <v>16</v>
      </c>
      <c r="C1408" s="55" t="s">
        <v>3962</v>
      </c>
      <c r="D1408" s="55" t="s">
        <v>3963</v>
      </c>
      <c r="E1408" s="55" t="s">
        <v>3964</v>
      </c>
      <c r="F1408" s="55" t="s">
        <v>2558</v>
      </c>
      <c r="I1408" s="55" t="s">
        <v>904</v>
      </c>
    </row>
    <row r="1409" customFormat="false" ht="11.25" hidden="false" customHeight="true" outlineLevel="0" collapsed="false">
      <c r="A1409" s="55" t="s">
        <v>2243</v>
      </c>
      <c r="B1409" s="55" t="s">
        <v>16</v>
      </c>
      <c r="C1409" s="55" t="s">
        <v>3968</v>
      </c>
      <c r="D1409" s="55" t="s">
        <v>3969</v>
      </c>
      <c r="E1409" s="55" t="s">
        <v>3970</v>
      </c>
      <c r="F1409" s="55" t="s">
        <v>2329</v>
      </c>
      <c r="I1409" s="55" t="s">
        <v>904</v>
      </c>
    </row>
    <row r="1410" customFormat="false" ht="11.25" hidden="false" customHeight="true" outlineLevel="0" collapsed="false">
      <c r="A1410" s="55" t="s">
        <v>2243</v>
      </c>
      <c r="B1410" s="55" t="s">
        <v>16</v>
      </c>
      <c r="C1410" s="55" t="s">
        <v>3978</v>
      </c>
      <c r="D1410" s="55" t="s">
        <v>3979</v>
      </c>
      <c r="E1410" s="55" t="s">
        <v>3980</v>
      </c>
      <c r="F1410" s="55" t="s">
        <v>3981</v>
      </c>
      <c r="G1410" s="55" t="s">
        <v>3982</v>
      </c>
      <c r="I1410" s="55" t="s">
        <v>904</v>
      </c>
    </row>
    <row r="1411" customFormat="false" ht="11.25" hidden="false" customHeight="true" outlineLevel="0" collapsed="false">
      <c r="A1411" s="55" t="s">
        <v>2243</v>
      </c>
      <c r="B1411" s="55" t="s">
        <v>16</v>
      </c>
      <c r="C1411" s="55" t="s">
        <v>4711</v>
      </c>
      <c r="D1411" s="55" t="s">
        <v>4712</v>
      </c>
      <c r="E1411" s="55" t="s">
        <v>4713</v>
      </c>
      <c r="F1411" s="55" t="s">
        <v>2329</v>
      </c>
      <c r="I1411" s="55" t="s">
        <v>904</v>
      </c>
    </row>
    <row r="1412" customFormat="false" ht="11.25" hidden="false" customHeight="true" outlineLevel="0" collapsed="false">
      <c r="A1412" s="55" t="s">
        <v>2243</v>
      </c>
      <c r="B1412" s="55" t="s">
        <v>16</v>
      </c>
      <c r="C1412" s="55" t="s">
        <v>3994</v>
      </c>
      <c r="D1412" s="55" t="s">
        <v>3995</v>
      </c>
      <c r="E1412" s="55" t="s">
        <v>3996</v>
      </c>
      <c r="F1412" s="55" t="s">
        <v>2291</v>
      </c>
      <c r="I1412" s="55" t="s">
        <v>904</v>
      </c>
    </row>
    <row r="1413" customFormat="false" ht="11.25" hidden="false" customHeight="true" outlineLevel="0" collapsed="false">
      <c r="A1413" s="55" t="s">
        <v>2243</v>
      </c>
      <c r="B1413" s="55" t="s">
        <v>16</v>
      </c>
      <c r="C1413" s="55" t="s">
        <v>4031</v>
      </c>
      <c r="D1413" s="55" t="s">
        <v>4032</v>
      </c>
      <c r="E1413" s="55" t="s">
        <v>4033</v>
      </c>
      <c r="F1413" s="55" t="s">
        <v>2301</v>
      </c>
      <c r="I1413" s="55" t="s">
        <v>904</v>
      </c>
    </row>
    <row r="1414" customFormat="false" ht="11.25" hidden="false" customHeight="true" outlineLevel="0" collapsed="false">
      <c r="A1414" s="55" t="s">
        <v>2243</v>
      </c>
      <c r="B1414" s="55" t="s">
        <v>16</v>
      </c>
      <c r="C1414" s="55" t="s">
        <v>4040</v>
      </c>
      <c r="D1414" s="55" t="s">
        <v>4041</v>
      </c>
      <c r="E1414" s="55" t="s">
        <v>4042</v>
      </c>
      <c r="F1414" s="55" t="s">
        <v>3728</v>
      </c>
      <c r="G1414" s="55" t="s">
        <v>4043</v>
      </c>
      <c r="I1414" s="55" t="s">
        <v>904</v>
      </c>
    </row>
    <row r="1415" customFormat="false" ht="11.25" hidden="false" customHeight="true" outlineLevel="0" collapsed="false">
      <c r="A1415" s="55" t="s">
        <v>2243</v>
      </c>
      <c r="B1415" s="55" t="s">
        <v>16</v>
      </c>
      <c r="C1415" s="55" t="s">
        <v>4047</v>
      </c>
      <c r="D1415" s="55" t="s">
        <v>4048</v>
      </c>
      <c r="E1415" s="55" t="s">
        <v>4049</v>
      </c>
      <c r="F1415" s="55" t="s">
        <v>2357</v>
      </c>
      <c r="I1415" s="55" t="s">
        <v>904</v>
      </c>
    </row>
    <row r="1416" customFormat="false" ht="11.25" hidden="false" customHeight="true" outlineLevel="0" collapsed="false">
      <c r="A1416" s="55" t="s">
        <v>2243</v>
      </c>
      <c r="B1416" s="55" t="s">
        <v>16</v>
      </c>
      <c r="C1416" s="55" t="s">
        <v>4584</v>
      </c>
      <c r="D1416" s="55" t="s">
        <v>4585</v>
      </c>
      <c r="E1416" s="55" t="s">
        <v>4586</v>
      </c>
      <c r="F1416" s="55" t="s">
        <v>2544</v>
      </c>
      <c r="I1416" s="55" t="s">
        <v>904</v>
      </c>
    </row>
    <row r="1417" customFormat="false" ht="11.25" hidden="false" customHeight="true" outlineLevel="0" collapsed="false">
      <c r="A1417" s="55" t="s">
        <v>2243</v>
      </c>
      <c r="B1417" s="55" t="s">
        <v>16</v>
      </c>
      <c r="C1417" s="55" t="s">
        <v>4066</v>
      </c>
      <c r="D1417" s="55" t="s">
        <v>4067</v>
      </c>
      <c r="E1417" s="55" t="s">
        <v>4068</v>
      </c>
      <c r="F1417" s="55" t="s">
        <v>2318</v>
      </c>
      <c r="G1417" s="55" t="s">
        <v>4069</v>
      </c>
      <c r="I1417" s="55" t="s">
        <v>904</v>
      </c>
    </row>
    <row r="1418" customFormat="false" ht="11.25" hidden="false" customHeight="true" outlineLevel="0" collapsed="false">
      <c r="A1418" s="55" t="s">
        <v>2243</v>
      </c>
      <c r="B1418" s="55" t="s">
        <v>16</v>
      </c>
      <c r="C1418" s="55" t="s">
        <v>4070</v>
      </c>
      <c r="D1418" s="55" t="s">
        <v>4071</v>
      </c>
      <c r="E1418" s="55" t="s">
        <v>2523</v>
      </c>
      <c r="F1418" s="55" t="s">
        <v>4072</v>
      </c>
      <c r="I1418" s="55" t="s">
        <v>904</v>
      </c>
    </row>
    <row r="1419" customFormat="false" ht="11.25" hidden="false" customHeight="true" outlineLevel="0" collapsed="false">
      <c r="A1419" s="55" t="s">
        <v>2243</v>
      </c>
      <c r="B1419" s="55" t="s">
        <v>16</v>
      </c>
      <c r="C1419" s="55" t="s">
        <v>4087</v>
      </c>
      <c r="D1419" s="55" t="s">
        <v>4088</v>
      </c>
      <c r="E1419" s="55" t="s">
        <v>4089</v>
      </c>
      <c r="F1419" s="55" t="s">
        <v>2347</v>
      </c>
      <c r="G1419" s="55" t="s">
        <v>3693</v>
      </c>
      <c r="I1419" s="55" t="s">
        <v>904</v>
      </c>
    </row>
    <row r="1420" customFormat="false" ht="11.25" hidden="false" customHeight="true" outlineLevel="0" collapsed="false">
      <c r="A1420" s="55" t="s">
        <v>2243</v>
      </c>
      <c r="B1420" s="55" t="s">
        <v>16</v>
      </c>
      <c r="C1420" s="55" t="s">
        <v>4105</v>
      </c>
      <c r="D1420" s="55" t="s">
        <v>4106</v>
      </c>
      <c r="E1420" s="55" t="s">
        <v>4107</v>
      </c>
      <c r="F1420" s="55" t="s">
        <v>2309</v>
      </c>
      <c r="I1420" s="55" t="s">
        <v>904</v>
      </c>
    </row>
    <row r="1421" customFormat="false" ht="11.25" hidden="false" customHeight="true" outlineLevel="0" collapsed="false">
      <c r="A1421" s="55" t="s">
        <v>2243</v>
      </c>
      <c r="B1421" s="55" t="s">
        <v>16</v>
      </c>
      <c r="C1421" s="55" t="s">
        <v>4116</v>
      </c>
      <c r="D1421" s="55" t="s">
        <v>4117</v>
      </c>
      <c r="E1421" s="55" t="s">
        <v>4118</v>
      </c>
      <c r="F1421" s="55" t="s">
        <v>4119</v>
      </c>
      <c r="I1421" s="55" t="s">
        <v>904</v>
      </c>
    </row>
    <row r="1422" customFormat="false" ht="11.25" hidden="false" customHeight="true" outlineLevel="0" collapsed="false">
      <c r="A1422" s="55" t="s">
        <v>2243</v>
      </c>
      <c r="B1422" s="55" t="s">
        <v>16</v>
      </c>
      <c r="C1422" s="55" t="s">
        <v>4120</v>
      </c>
      <c r="D1422" s="55" t="s">
        <v>4121</v>
      </c>
      <c r="E1422" s="55" t="s">
        <v>4122</v>
      </c>
      <c r="F1422" s="55" t="s">
        <v>2558</v>
      </c>
      <c r="G1422" s="55" t="s">
        <v>3693</v>
      </c>
      <c r="I1422" s="55" t="s">
        <v>904</v>
      </c>
    </row>
    <row r="1423" customFormat="false" ht="11.25" hidden="false" customHeight="true" outlineLevel="0" collapsed="false">
      <c r="A1423" s="55" t="s">
        <v>2243</v>
      </c>
      <c r="B1423" s="55" t="s">
        <v>16</v>
      </c>
      <c r="C1423" s="55" t="s">
        <v>4130</v>
      </c>
      <c r="D1423" s="55" t="s">
        <v>4131</v>
      </c>
      <c r="E1423" s="55" t="s">
        <v>4132</v>
      </c>
      <c r="F1423" s="55" t="s">
        <v>2309</v>
      </c>
      <c r="G1423" s="55" t="s">
        <v>4133</v>
      </c>
      <c r="I1423" s="55" t="s">
        <v>904</v>
      </c>
    </row>
    <row r="1424" customFormat="false" ht="11.25" hidden="false" customHeight="true" outlineLevel="0" collapsed="false">
      <c r="A1424" s="55" t="s">
        <v>2243</v>
      </c>
      <c r="B1424" s="55" t="s">
        <v>16</v>
      </c>
      <c r="C1424" s="55" t="s">
        <v>4590</v>
      </c>
      <c r="D1424" s="55" t="s">
        <v>4591</v>
      </c>
      <c r="E1424" s="55" t="s">
        <v>4592</v>
      </c>
      <c r="F1424" s="55" t="s">
        <v>2309</v>
      </c>
      <c r="G1424" s="55" t="s">
        <v>4593</v>
      </c>
      <c r="I1424" s="55" t="s">
        <v>904</v>
      </c>
    </row>
    <row r="1425" customFormat="false" ht="11.25" hidden="false" customHeight="true" outlineLevel="0" collapsed="false">
      <c r="A1425" s="55" t="s">
        <v>2243</v>
      </c>
      <c r="B1425" s="55" t="s">
        <v>16</v>
      </c>
      <c r="C1425" s="55" t="s">
        <v>4137</v>
      </c>
      <c r="D1425" s="55" t="s">
        <v>4138</v>
      </c>
      <c r="E1425" s="55" t="s">
        <v>4139</v>
      </c>
      <c r="F1425" s="55" t="s">
        <v>2357</v>
      </c>
      <c r="I1425" s="55" t="s">
        <v>904</v>
      </c>
    </row>
    <row r="1426" customFormat="false" ht="11.25" hidden="false" customHeight="true" outlineLevel="0" collapsed="false">
      <c r="A1426" s="55" t="s">
        <v>2243</v>
      </c>
      <c r="B1426" s="55" t="s">
        <v>16</v>
      </c>
      <c r="C1426" s="55" t="s">
        <v>4140</v>
      </c>
      <c r="D1426" s="55" t="s">
        <v>4141</v>
      </c>
      <c r="E1426" s="55" t="s">
        <v>4142</v>
      </c>
      <c r="F1426" s="55" t="s">
        <v>2301</v>
      </c>
      <c r="G1426" s="55" t="s">
        <v>4143</v>
      </c>
      <c r="I1426" s="55" t="s">
        <v>904</v>
      </c>
    </row>
    <row r="1427" customFormat="false" ht="11.25" hidden="false" customHeight="true" outlineLevel="0" collapsed="false">
      <c r="A1427" s="55" t="s">
        <v>2243</v>
      </c>
      <c r="B1427" s="55" t="s">
        <v>16</v>
      </c>
      <c r="C1427" s="55" t="s">
        <v>4144</v>
      </c>
      <c r="D1427" s="55" t="s">
        <v>4145</v>
      </c>
      <c r="E1427" s="55" t="s">
        <v>4146</v>
      </c>
      <c r="F1427" s="55" t="s">
        <v>2329</v>
      </c>
      <c r="G1427" s="55" t="s">
        <v>4147</v>
      </c>
      <c r="I1427" s="55" t="s">
        <v>904</v>
      </c>
    </row>
    <row r="1428" customFormat="false" ht="11.25" hidden="false" customHeight="true" outlineLevel="0" collapsed="false">
      <c r="A1428" s="55" t="s">
        <v>2243</v>
      </c>
      <c r="B1428" s="55" t="s">
        <v>16</v>
      </c>
      <c r="C1428" s="55" t="s">
        <v>4148</v>
      </c>
      <c r="D1428" s="55" t="s">
        <v>4149</v>
      </c>
      <c r="E1428" s="55" t="s">
        <v>4150</v>
      </c>
      <c r="F1428" s="55" t="s">
        <v>3130</v>
      </c>
      <c r="G1428" s="55" t="s">
        <v>4151</v>
      </c>
      <c r="I1428" s="55" t="s">
        <v>904</v>
      </c>
    </row>
    <row r="1429" customFormat="false" ht="11.25" hidden="false" customHeight="true" outlineLevel="0" collapsed="false">
      <c r="A1429" s="55" t="s">
        <v>2243</v>
      </c>
      <c r="B1429" s="55" t="s">
        <v>16</v>
      </c>
      <c r="C1429" s="55" t="s">
        <v>4157</v>
      </c>
      <c r="D1429" s="55" t="s">
        <v>4158</v>
      </c>
      <c r="E1429" s="55" t="s">
        <v>4159</v>
      </c>
      <c r="F1429" s="55" t="s">
        <v>2283</v>
      </c>
      <c r="G1429" s="55" t="s">
        <v>4160</v>
      </c>
      <c r="I1429" s="55" t="s">
        <v>904</v>
      </c>
    </row>
    <row r="1430" customFormat="false" ht="11.25" hidden="false" customHeight="true" outlineLevel="0" collapsed="false">
      <c r="A1430" s="55" t="s">
        <v>2243</v>
      </c>
      <c r="B1430" s="55" t="s">
        <v>16</v>
      </c>
      <c r="C1430" s="55" t="s">
        <v>4161</v>
      </c>
      <c r="D1430" s="55" t="s">
        <v>4162</v>
      </c>
      <c r="E1430" s="55" t="s">
        <v>4163</v>
      </c>
      <c r="F1430" s="55" t="s">
        <v>2318</v>
      </c>
      <c r="I1430" s="55" t="s">
        <v>904</v>
      </c>
    </row>
    <row r="1431" customFormat="false" ht="11.25" hidden="false" customHeight="true" outlineLevel="0" collapsed="false">
      <c r="A1431" s="55" t="s">
        <v>2243</v>
      </c>
      <c r="B1431" s="55" t="s">
        <v>16</v>
      </c>
      <c r="C1431" s="55" t="s">
        <v>4170</v>
      </c>
      <c r="D1431" s="55" t="s">
        <v>4171</v>
      </c>
      <c r="E1431" s="55" t="s">
        <v>4172</v>
      </c>
      <c r="F1431" s="55" t="s">
        <v>2520</v>
      </c>
      <c r="I1431" s="55" t="s">
        <v>904</v>
      </c>
    </row>
    <row r="1432" customFormat="false" ht="11.25" hidden="false" customHeight="true" outlineLevel="0" collapsed="false">
      <c r="A1432" s="55" t="s">
        <v>2243</v>
      </c>
      <c r="B1432" s="55" t="s">
        <v>16</v>
      </c>
      <c r="D1432" s="55" t="s">
        <v>4173</v>
      </c>
      <c r="E1432" s="55" t="s">
        <v>4174</v>
      </c>
      <c r="F1432" s="55" t="s">
        <v>2371</v>
      </c>
      <c r="I1432" s="55" t="s">
        <v>904</v>
      </c>
    </row>
    <row r="1433" customFormat="false" ht="11.25" hidden="false" customHeight="true" outlineLevel="0" collapsed="false">
      <c r="A1433" s="55" t="s">
        <v>2243</v>
      </c>
      <c r="B1433" s="55" t="s">
        <v>16</v>
      </c>
      <c r="C1433" s="55" t="s">
        <v>4623</v>
      </c>
      <c r="D1433" s="55" t="s">
        <v>4624</v>
      </c>
      <c r="E1433" s="55" t="s">
        <v>4625</v>
      </c>
      <c r="F1433" s="55" t="s">
        <v>2309</v>
      </c>
      <c r="G1433" s="55" t="s">
        <v>4626</v>
      </c>
      <c r="I1433" s="55" t="s">
        <v>904</v>
      </c>
    </row>
    <row r="1434" customFormat="false" ht="11.25" hidden="false" customHeight="true" outlineLevel="0" collapsed="false">
      <c r="A1434" s="55" t="s">
        <v>2243</v>
      </c>
      <c r="B1434" s="55" t="s">
        <v>16</v>
      </c>
      <c r="C1434" s="55" t="s">
        <v>4194</v>
      </c>
      <c r="D1434" s="55" t="s">
        <v>4195</v>
      </c>
      <c r="E1434" s="55" t="s">
        <v>4196</v>
      </c>
      <c r="F1434" s="55" t="s">
        <v>2247</v>
      </c>
      <c r="G1434" s="55" t="s">
        <v>4197</v>
      </c>
      <c r="I1434" s="55" t="s">
        <v>904</v>
      </c>
    </row>
    <row r="1435" customFormat="false" ht="11.25" hidden="false" customHeight="true" outlineLevel="0" collapsed="false">
      <c r="A1435" s="55" t="s">
        <v>2243</v>
      </c>
      <c r="B1435" s="55" t="s">
        <v>16</v>
      </c>
      <c r="C1435" s="55" t="s">
        <v>4198</v>
      </c>
      <c r="D1435" s="55" t="s">
        <v>4199</v>
      </c>
      <c r="E1435" s="55" t="s">
        <v>4200</v>
      </c>
      <c r="F1435" s="55" t="s">
        <v>4201</v>
      </c>
      <c r="I1435" s="55" t="s">
        <v>904</v>
      </c>
    </row>
    <row r="1436" customFormat="false" ht="11.25" hidden="false" customHeight="true" outlineLevel="0" collapsed="false">
      <c r="A1436" s="55" t="s">
        <v>2243</v>
      </c>
      <c r="B1436" s="55" t="s">
        <v>16</v>
      </c>
      <c r="C1436" s="55" t="s">
        <v>4234</v>
      </c>
      <c r="D1436" s="55" t="s">
        <v>4235</v>
      </c>
      <c r="E1436" s="55" t="s">
        <v>4236</v>
      </c>
      <c r="F1436" s="55" t="s">
        <v>2347</v>
      </c>
      <c r="G1436" s="55" t="s">
        <v>4237</v>
      </c>
      <c r="I1436" s="55" t="s">
        <v>904</v>
      </c>
    </row>
    <row r="1437" customFormat="false" ht="11.25" hidden="false" customHeight="true" outlineLevel="0" collapsed="false">
      <c r="A1437" s="55" t="s">
        <v>2243</v>
      </c>
      <c r="B1437" s="55" t="s">
        <v>16</v>
      </c>
      <c r="C1437" s="55" t="s">
        <v>4238</v>
      </c>
      <c r="D1437" s="55" t="s">
        <v>4239</v>
      </c>
      <c r="E1437" s="55" t="s">
        <v>4240</v>
      </c>
      <c r="F1437" s="55" t="s">
        <v>2558</v>
      </c>
      <c r="I1437" s="55" t="s">
        <v>904</v>
      </c>
    </row>
    <row r="1438" customFormat="false" ht="11.25" hidden="false" customHeight="true" outlineLevel="0" collapsed="false">
      <c r="A1438" s="55" t="s">
        <v>2243</v>
      </c>
      <c r="B1438" s="55" t="s">
        <v>16</v>
      </c>
      <c r="C1438" s="55" t="s">
        <v>4627</v>
      </c>
      <c r="D1438" s="55" t="s">
        <v>4628</v>
      </c>
      <c r="E1438" s="55" t="s">
        <v>4629</v>
      </c>
      <c r="F1438" s="55" t="s">
        <v>2278</v>
      </c>
      <c r="I1438" s="55" t="s">
        <v>904</v>
      </c>
    </row>
    <row r="1439" customFormat="false" ht="11.25" hidden="false" customHeight="true" outlineLevel="0" collapsed="false">
      <c r="A1439" s="55" t="s">
        <v>2243</v>
      </c>
      <c r="B1439" s="55" t="s">
        <v>16</v>
      </c>
      <c r="C1439" s="55" t="s">
        <v>4714</v>
      </c>
      <c r="D1439" s="55" t="s">
        <v>4715</v>
      </c>
      <c r="E1439" s="55" t="s">
        <v>4716</v>
      </c>
      <c r="F1439" s="55" t="s">
        <v>2558</v>
      </c>
      <c r="I1439" s="55" t="s">
        <v>904</v>
      </c>
    </row>
    <row r="1440" customFormat="false" ht="11.25" hidden="false" customHeight="true" outlineLevel="0" collapsed="false">
      <c r="A1440" s="55" t="s">
        <v>2243</v>
      </c>
      <c r="B1440" s="55" t="s">
        <v>16</v>
      </c>
      <c r="C1440" s="55" t="s">
        <v>4247</v>
      </c>
      <c r="D1440" s="55" t="s">
        <v>4248</v>
      </c>
      <c r="E1440" s="55" t="s">
        <v>4249</v>
      </c>
      <c r="F1440" s="55" t="s">
        <v>3130</v>
      </c>
      <c r="I1440" s="55" t="s">
        <v>904</v>
      </c>
    </row>
    <row r="1441" customFormat="false" ht="11.25" hidden="false" customHeight="true" outlineLevel="0" collapsed="false">
      <c r="A1441" s="55" t="s">
        <v>2243</v>
      </c>
      <c r="B1441" s="55" t="s">
        <v>16</v>
      </c>
      <c r="C1441" s="55" t="s">
        <v>4250</v>
      </c>
      <c r="D1441" s="55" t="s">
        <v>4251</v>
      </c>
      <c r="E1441" s="55" t="s">
        <v>4154</v>
      </c>
      <c r="F1441" s="55" t="s">
        <v>4252</v>
      </c>
      <c r="G1441" s="55" t="s">
        <v>4253</v>
      </c>
      <c r="I1441" s="55" t="s">
        <v>904</v>
      </c>
    </row>
    <row r="1442" customFormat="false" ht="11.25" hidden="false" customHeight="true" outlineLevel="0" collapsed="false">
      <c r="A1442" s="55" t="s">
        <v>2243</v>
      </c>
      <c r="B1442" s="55" t="s">
        <v>16</v>
      </c>
      <c r="C1442" s="55" t="s">
        <v>4254</v>
      </c>
      <c r="D1442" s="55" t="s">
        <v>4255</v>
      </c>
      <c r="E1442" s="55" t="s">
        <v>2557</v>
      </c>
      <c r="F1442" s="55" t="s">
        <v>4256</v>
      </c>
      <c r="I1442" s="55" t="s">
        <v>904</v>
      </c>
    </row>
    <row r="1443" customFormat="false" ht="11.25" hidden="false" customHeight="true" outlineLevel="0" collapsed="false">
      <c r="A1443" s="55" t="s">
        <v>2243</v>
      </c>
      <c r="B1443" s="55" t="s">
        <v>16</v>
      </c>
      <c r="C1443" s="55" t="s">
        <v>4257</v>
      </c>
      <c r="D1443" s="55" t="s">
        <v>4258</v>
      </c>
      <c r="E1443" s="55" t="s">
        <v>2557</v>
      </c>
      <c r="F1443" s="55" t="s">
        <v>2653</v>
      </c>
      <c r="G1443" s="55" t="s">
        <v>4259</v>
      </c>
      <c r="I1443" s="55" t="s">
        <v>904</v>
      </c>
    </row>
    <row r="1444" customFormat="false" ht="11.25" hidden="false" customHeight="true" outlineLevel="0" collapsed="false">
      <c r="A1444" s="55" t="s">
        <v>2243</v>
      </c>
      <c r="B1444" s="55" t="s">
        <v>16</v>
      </c>
      <c r="C1444" s="55" t="s">
        <v>13</v>
      </c>
      <c r="D1444" s="55" t="s">
        <v>45</v>
      </c>
      <c r="E1444" s="55" t="s">
        <v>48</v>
      </c>
      <c r="F1444" s="55" t="s">
        <v>50</v>
      </c>
      <c r="G1444" s="55" t="s">
        <v>4263</v>
      </c>
      <c r="I1444" s="55" t="s">
        <v>904</v>
      </c>
    </row>
    <row r="1445" customFormat="false" ht="11.25" hidden="false" customHeight="true" outlineLevel="0" collapsed="false">
      <c r="A1445" s="55" t="s">
        <v>2243</v>
      </c>
      <c r="B1445" s="55" t="s">
        <v>16</v>
      </c>
      <c r="C1445" s="55" t="s">
        <v>4264</v>
      </c>
      <c r="D1445" s="55" t="s">
        <v>4265</v>
      </c>
      <c r="E1445" s="55" t="s">
        <v>4266</v>
      </c>
      <c r="F1445" s="55" t="s">
        <v>4267</v>
      </c>
      <c r="I1445" s="55" t="s">
        <v>904</v>
      </c>
    </row>
    <row r="1446" customFormat="false" ht="11.25" hidden="false" customHeight="true" outlineLevel="0" collapsed="false">
      <c r="A1446" s="55" t="s">
        <v>2243</v>
      </c>
      <c r="B1446" s="55" t="s">
        <v>16</v>
      </c>
      <c r="C1446" s="55" t="s">
        <v>4717</v>
      </c>
      <c r="D1446" s="55" t="s">
        <v>4718</v>
      </c>
      <c r="E1446" s="55" t="s">
        <v>4719</v>
      </c>
      <c r="F1446" s="55" t="s">
        <v>4720</v>
      </c>
      <c r="I1446" s="55" t="s">
        <v>904</v>
      </c>
    </row>
    <row r="1447" customFormat="false" ht="11.25" hidden="false" customHeight="true" outlineLevel="0" collapsed="false">
      <c r="A1447" s="55" t="s">
        <v>2243</v>
      </c>
      <c r="B1447" s="55" t="s">
        <v>16</v>
      </c>
      <c r="C1447" s="55" t="s">
        <v>4721</v>
      </c>
      <c r="D1447" s="55" t="s">
        <v>4722</v>
      </c>
      <c r="E1447" s="55" t="s">
        <v>4723</v>
      </c>
      <c r="F1447" s="55" t="s">
        <v>2558</v>
      </c>
      <c r="I1447" s="55" t="s">
        <v>1617</v>
      </c>
    </row>
    <row r="1448" customFormat="false" ht="11.25" hidden="false" customHeight="true" outlineLevel="0" collapsed="false">
      <c r="A1448" s="55" t="s">
        <v>2243</v>
      </c>
      <c r="B1448" s="55" t="s">
        <v>16</v>
      </c>
      <c r="C1448" s="55" t="s">
        <v>2410</v>
      </c>
      <c r="D1448" s="55" t="s">
        <v>2411</v>
      </c>
      <c r="E1448" s="55" t="s">
        <v>2412</v>
      </c>
      <c r="F1448" s="55" t="s">
        <v>2371</v>
      </c>
      <c r="G1448" s="55" t="s">
        <v>2413</v>
      </c>
      <c r="I1448" s="55" t="s">
        <v>1617</v>
      </c>
    </row>
    <row r="1449" customFormat="false" ht="11.25" hidden="false" customHeight="true" outlineLevel="0" collapsed="false">
      <c r="A1449" s="55" t="s">
        <v>2243</v>
      </c>
      <c r="B1449" s="55" t="s">
        <v>16</v>
      </c>
      <c r="C1449" s="55" t="s">
        <v>2625</v>
      </c>
      <c r="D1449" s="55" t="s">
        <v>2626</v>
      </c>
      <c r="E1449" s="55" t="s">
        <v>2627</v>
      </c>
      <c r="F1449" s="55" t="s">
        <v>2283</v>
      </c>
      <c r="G1449" s="55" t="s">
        <v>2628</v>
      </c>
      <c r="I1449" s="55" t="s">
        <v>1617</v>
      </c>
    </row>
    <row r="1450" customFormat="false" ht="11.25" hidden="false" customHeight="true" outlineLevel="0" collapsed="false">
      <c r="A1450" s="55" t="s">
        <v>2243</v>
      </c>
      <c r="B1450" s="55" t="s">
        <v>16</v>
      </c>
      <c r="C1450" s="55" t="s">
        <v>4724</v>
      </c>
      <c r="D1450" s="55" t="s">
        <v>4725</v>
      </c>
      <c r="E1450" s="55" t="s">
        <v>4726</v>
      </c>
      <c r="F1450" s="55" t="s">
        <v>2291</v>
      </c>
      <c r="I1450" s="55" t="s">
        <v>1617</v>
      </c>
    </row>
    <row r="1451" customFormat="false" ht="11.25" hidden="false" customHeight="true" outlineLevel="0" collapsed="false">
      <c r="A1451" s="55" t="s">
        <v>2243</v>
      </c>
      <c r="B1451" s="55" t="s">
        <v>16</v>
      </c>
      <c r="C1451" s="55" t="s">
        <v>4727</v>
      </c>
      <c r="D1451" s="55" t="s">
        <v>4728</v>
      </c>
      <c r="E1451" s="55" t="s">
        <v>4729</v>
      </c>
      <c r="F1451" s="55" t="s">
        <v>572</v>
      </c>
      <c r="I1451" s="55" t="s">
        <v>1617</v>
      </c>
    </row>
    <row r="1452" customFormat="false" ht="11.25" hidden="false" customHeight="true" outlineLevel="0" collapsed="false">
      <c r="A1452" s="55" t="s">
        <v>2243</v>
      </c>
      <c r="B1452" s="55" t="s">
        <v>16</v>
      </c>
      <c r="C1452" s="55" t="s">
        <v>2819</v>
      </c>
      <c r="D1452" s="55" t="s">
        <v>2820</v>
      </c>
      <c r="E1452" s="55" t="s">
        <v>2821</v>
      </c>
      <c r="F1452" s="55" t="s">
        <v>2387</v>
      </c>
      <c r="I1452" s="55" t="s">
        <v>1617</v>
      </c>
    </row>
    <row r="1453" customFormat="false" ht="11.25" hidden="false" customHeight="true" outlineLevel="0" collapsed="false">
      <c r="A1453" s="55" t="s">
        <v>2243</v>
      </c>
      <c r="B1453" s="55" t="s">
        <v>16</v>
      </c>
      <c r="C1453" s="55" t="s">
        <v>2867</v>
      </c>
      <c r="D1453" s="55" t="s">
        <v>2868</v>
      </c>
      <c r="E1453" s="55" t="s">
        <v>2869</v>
      </c>
      <c r="F1453" s="55" t="s">
        <v>2716</v>
      </c>
      <c r="G1453" s="55" t="s">
        <v>2870</v>
      </c>
      <c r="I1453" s="55" t="s">
        <v>1617</v>
      </c>
    </row>
    <row r="1454" customFormat="false" ht="11.25" hidden="false" customHeight="true" outlineLevel="0" collapsed="false">
      <c r="A1454" s="55" t="s">
        <v>2243</v>
      </c>
      <c r="B1454" s="55" t="s">
        <v>16</v>
      </c>
      <c r="C1454" s="55" t="s">
        <v>4730</v>
      </c>
      <c r="D1454" s="55" t="s">
        <v>4731</v>
      </c>
      <c r="E1454" s="55" t="s">
        <v>4732</v>
      </c>
      <c r="F1454" s="55" t="s">
        <v>2347</v>
      </c>
      <c r="G1454" s="55" t="s">
        <v>4733</v>
      </c>
      <c r="I1454" s="55" t="s">
        <v>1617</v>
      </c>
    </row>
    <row r="1455" customFormat="false" ht="11.25" hidden="false" customHeight="true" outlineLevel="0" collapsed="false">
      <c r="A1455" s="55" t="s">
        <v>2243</v>
      </c>
      <c r="B1455" s="55" t="s">
        <v>16</v>
      </c>
      <c r="C1455" s="55" t="s">
        <v>4734</v>
      </c>
      <c r="D1455" s="55" t="s">
        <v>4735</v>
      </c>
      <c r="E1455" s="55" t="s">
        <v>4736</v>
      </c>
      <c r="F1455" s="55" t="s">
        <v>2338</v>
      </c>
      <c r="G1455" s="55" t="s">
        <v>4737</v>
      </c>
      <c r="I1455" s="55" t="s">
        <v>1617</v>
      </c>
    </row>
    <row r="1456" customFormat="false" ht="11.25" hidden="false" customHeight="true" outlineLevel="0" collapsed="false">
      <c r="A1456" s="55" t="s">
        <v>2243</v>
      </c>
      <c r="B1456" s="55" t="s">
        <v>16</v>
      </c>
      <c r="C1456" s="55" t="s">
        <v>4738</v>
      </c>
      <c r="D1456" s="55" t="s">
        <v>4739</v>
      </c>
      <c r="E1456" s="55" t="s">
        <v>4740</v>
      </c>
      <c r="F1456" s="55" t="s">
        <v>2387</v>
      </c>
      <c r="I1456" s="55" t="s">
        <v>1617</v>
      </c>
    </row>
    <row r="1457" customFormat="false" ht="11.25" hidden="false" customHeight="true" outlineLevel="0" collapsed="false">
      <c r="A1457" s="55" t="s">
        <v>2243</v>
      </c>
      <c r="B1457" s="55" t="s">
        <v>16</v>
      </c>
      <c r="C1457" s="55" t="s">
        <v>2903</v>
      </c>
      <c r="D1457" s="55" t="s">
        <v>2904</v>
      </c>
      <c r="E1457" s="55" t="s">
        <v>2905</v>
      </c>
      <c r="F1457" s="55" t="s">
        <v>2672</v>
      </c>
      <c r="G1457" s="55" t="s">
        <v>2906</v>
      </c>
      <c r="I1457" s="55" t="s">
        <v>1617</v>
      </c>
    </row>
    <row r="1458" customFormat="false" ht="11.25" hidden="false" customHeight="true" outlineLevel="0" collapsed="false">
      <c r="A1458" s="55" t="s">
        <v>2243</v>
      </c>
      <c r="B1458" s="55" t="s">
        <v>16</v>
      </c>
      <c r="C1458" s="55" t="s">
        <v>2907</v>
      </c>
      <c r="D1458" s="55" t="s">
        <v>2908</v>
      </c>
      <c r="E1458" s="55" t="s">
        <v>2909</v>
      </c>
      <c r="F1458" s="55" t="s">
        <v>2672</v>
      </c>
      <c r="G1458" s="55" t="s">
        <v>2910</v>
      </c>
      <c r="I1458" s="55" t="s">
        <v>1617</v>
      </c>
    </row>
    <row r="1459" customFormat="false" ht="11.25" hidden="false" customHeight="true" outlineLevel="0" collapsed="false">
      <c r="A1459" s="55" t="s">
        <v>2243</v>
      </c>
      <c r="B1459" s="55" t="s">
        <v>16</v>
      </c>
      <c r="C1459" s="55" t="s">
        <v>2915</v>
      </c>
      <c r="D1459" s="55" t="s">
        <v>2916</v>
      </c>
      <c r="E1459" s="55" t="s">
        <v>2917</v>
      </c>
      <c r="F1459" s="55" t="s">
        <v>2672</v>
      </c>
      <c r="I1459" s="55" t="s">
        <v>1617</v>
      </c>
    </row>
    <row r="1460" customFormat="false" ht="11.25" hidden="false" customHeight="true" outlineLevel="0" collapsed="false">
      <c r="A1460" s="55" t="s">
        <v>2243</v>
      </c>
      <c r="B1460" s="55" t="s">
        <v>16</v>
      </c>
      <c r="C1460" s="55" t="s">
        <v>4741</v>
      </c>
      <c r="D1460" s="55" t="s">
        <v>4742</v>
      </c>
      <c r="E1460" s="55" t="s">
        <v>4743</v>
      </c>
      <c r="F1460" s="55" t="s">
        <v>2333</v>
      </c>
      <c r="I1460" s="55" t="s">
        <v>1617</v>
      </c>
    </row>
    <row r="1461" customFormat="false" ht="11.25" hidden="false" customHeight="true" outlineLevel="0" collapsed="false">
      <c r="A1461" s="55" t="s">
        <v>2243</v>
      </c>
      <c r="B1461" s="55" t="s">
        <v>16</v>
      </c>
      <c r="C1461" s="55" t="s">
        <v>4744</v>
      </c>
      <c r="D1461" s="55" t="s">
        <v>4745</v>
      </c>
      <c r="E1461" s="55" t="s">
        <v>4746</v>
      </c>
      <c r="F1461" s="55" t="s">
        <v>4747</v>
      </c>
      <c r="I1461" s="55" t="s">
        <v>1617</v>
      </c>
    </row>
    <row r="1462" customFormat="false" ht="11.25" hidden="false" customHeight="true" outlineLevel="0" collapsed="false">
      <c r="A1462" s="55" t="s">
        <v>2243</v>
      </c>
      <c r="B1462" s="55" t="s">
        <v>16</v>
      </c>
      <c r="C1462" s="55" t="s">
        <v>4748</v>
      </c>
      <c r="D1462" s="55" t="s">
        <v>4749</v>
      </c>
      <c r="E1462" s="55" t="s">
        <v>4750</v>
      </c>
      <c r="F1462" s="55" t="s">
        <v>4751</v>
      </c>
      <c r="I1462" s="55" t="s">
        <v>1617</v>
      </c>
    </row>
    <row r="1463" customFormat="false" ht="11.25" hidden="false" customHeight="true" outlineLevel="0" collapsed="false">
      <c r="A1463" s="55" t="s">
        <v>2243</v>
      </c>
      <c r="B1463" s="55" t="s">
        <v>16</v>
      </c>
      <c r="C1463" s="55" t="s">
        <v>4752</v>
      </c>
      <c r="D1463" s="55" t="s">
        <v>4753</v>
      </c>
      <c r="E1463" s="55" t="s">
        <v>4754</v>
      </c>
      <c r="F1463" s="55" t="s">
        <v>2342</v>
      </c>
      <c r="I1463" s="55" t="s">
        <v>1617</v>
      </c>
    </row>
    <row r="1464" customFormat="false" ht="11.25" hidden="false" customHeight="true" outlineLevel="0" collapsed="false">
      <c r="A1464" s="55" t="s">
        <v>2243</v>
      </c>
      <c r="B1464" s="55" t="s">
        <v>16</v>
      </c>
      <c r="C1464" s="55" t="s">
        <v>4755</v>
      </c>
      <c r="D1464" s="55" t="s">
        <v>4756</v>
      </c>
      <c r="E1464" s="55" t="s">
        <v>4757</v>
      </c>
      <c r="F1464" s="55" t="s">
        <v>4758</v>
      </c>
      <c r="I1464" s="55" t="s">
        <v>1617</v>
      </c>
    </row>
    <row r="1465" customFormat="false" ht="11.25" hidden="false" customHeight="true" outlineLevel="0" collapsed="false">
      <c r="A1465" s="55" t="s">
        <v>2243</v>
      </c>
      <c r="B1465" s="55" t="s">
        <v>16</v>
      </c>
      <c r="C1465" s="55" t="s">
        <v>4419</v>
      </c>
      <c r="D1465" s="55" t="s">
        <v>4420</v>
      </c>
      <c r="E1465" s="55" t="s">
        <v>4421</v>
      </c>
      <c r="F1465" s="55" t="s">
        <v>2338</v>
      </c>
      <c r="G1465" s="55" t="s">
        <v>4422</v>
      </c>
      <c r="I1465" s="55" t="s">
        <v>1617</v>
      </c>
    </row>
    <row r="1466" customFormat="false" ht="11.25" hidden="false" customHeight="true" outlineLevel="0" collapsed="false">
      <c r="A1466" s="55" t="s">
        <v>2243</v>
      </c>
      <c r="B1466" s="55" t="s">
        <v>16</v>
      </c>
      <c r="C1466" s="55" t="s">
        <v>4759</v>
      </c>
      <c r="D1466" s="55" t="s">
        <v>4760</v>
      </c>
      <c r="E1466" s="55" t="s">
        <v>4761</v>
      </c>
      <c r="F1466" s="55" t="s">
        <v>2566</v>
      </c>
      <c r="I1466" s="55" t="s">
        <v>1617</v>
      </c>
    </row>
    <row r="1467" customFormat="false" ht="11.25" hidden="false" customHeight="true" outlineLevel="0" collapsed="false">
      <c r="A1467" s="55" t="s">
        <v>2243</v>
      </c>
      <c r="B1467" s="55" t="s">
        <v>16</v>
      </c>
      <c r="C1467" s="55" t="s">
        <v>2948</v>
      </c>
      <c r="D1467" s="55" t="s">
        <v>2949</v>
      </c>
      <c r="E1467" s="55" t="s">
        <v>2950</v>
      </c>
      <c r="F1467" s="55" t="s">
        <v>2283</v>
      </c>
      <c r="G1467" s="55" t="s">
        <v>2951</v>
      </c>
      <c r="I1467" s="55" t="s">
        <v>1617</v>
      </c>
    </row>
    <row r="1468" customFormat="false" ht="11.25" hidden="false" customHeight="true" outlineLevel="0" collapsed="false">
      <c r="A1468" s="55" t="s">
        <v>2243</v>
      </c>
      <c r="B1468" s="55" t="s">
        <v>16</v>
      </c>
      <c r="C1468" s="55" t="s">
        <v>2964</v>
      </c>
      <c r="D1468" s="55" t="s">
        <v>2965</v>
      </c>
      <c r="E1468" s="55" t="s">
        <v>2966</v>
      </c>
      <c r="F1468" s="55" t="s">
        <v>2309</v>
      </c>
      <c r="I1468" s="55" t="s">
        <v>1617</v>
      </c>
    </row>
    <row r="1469" customFormat="false" ht="11.25" hidden="false" customHeight="true" outlineLevel="0" collapsed="false">
      <c r="A1469" s="55" t="s">
        <v>2243</v>
      </c>
      <c r="B1469" s="55" t="s">
        <v>16</v>
      </c>
      <c r="C1469" s="55" t="s">
        <v>2977</v>
      </c>
      <c r="D1469" s="55" t="s">
        <v>2978</v>
      </c>
      <c r="E1469" s="55" t="s">
        <v>2979</v>
      </c>
      <c r="F1469" s="55" t="s">
        <v>2709</v>
      </c>
      <c r="G1469" s="55" t="s">
        <v>2980</v>
      </c>
      <c r="I1469" s="55" t="s">
        <v>1617</v>
      </c>
    </row>
    <row r="1470" customFormat="false" ht="11.25" hidden="false" customHeight="true" outlineLevel="0" collapsed="false">
      <c r="A1470" s="55" t="s">
        <v>2243</v>
      </c>
      <c r="B1470" s="55" t="s">
        <v>16</v>
      </c>
      <c r="C1470" s="55" t="s">
        <v>4762</v>
      </c>
      <c r="D1470" s="55" t="s">
        <v>4763</v>
      </c>
      <c r="E1470" s="55" t="s">
        <v>4764</v>
      </c>
      <c r="F1470" s="55" t="s">
        <v>4758</v>
      </c>
      <c r="G1470" s="55" t="s">
        <v>4765</v>
      </c>
      <c r="I1470" s="55" t="s">
        <v>1617</v>
      </c>
    </row>
    <row r="1471" customFormat="false" ht="11.25" hidden="false" customHeight="true" outlineLevel="0" collapsed="false">
      <c r="A1471" s="55" t="s">
        <v>2243</v>
      </c>
      <c r="B1471" s="55" t="s">
        <v>16</v>
      </c>
      <c r="C1471" s="55" t="s">
        <v>4766</v>
      </c>
      <c r="D1471" s="55" t="s">
        <v>4767</v>
      </c>
      <c r="E1471" s="55" t="s">
        <v>4768</v>
      </c>
      <c r="F1471" s="55" t="s">
        <v>3076</v>
      </c>
      <c r="I1471" s="55" t="s">
        <v>1617</v>
      </c>
    </row>
    <row r="1472" customFormat="false" ht="11.25" hidden="false" customHeight="true" outlineLevel="0" collapsed="false">
      <c r="A1472" s="55" t="s">
        <v>2243</v>
      </c>
      <c r="B1472" s="55" t="s">
        <v>16</v>
      </c>
      <c r="C1472" s="55" t="s">
        <v>4769</v>
      </c>
      <c r="D1472" s="55" t="s">
        <v>4770</v>
      </c>
      <c r="E1472" s="55" t="s">
        <v>4771</v>
      </c>
      <c r="F1472" s="55" t="s">
        <v>3735</v>
      </c>
      <c r="I1472" s="55" t="s">
        <v>1617</v>
      </c>
    </row>
    <row r="1473" customFormat="false" ht="11.25" hidden="false" customHeight="true" outlineLevel="0" collapsed="false">
      <c r="A1473" s="55" t="s">
        <v>2243</v>
      </c>
      <c r="B1473" s="55" t="s">
        <v>16</v>
      </c>
      <c r="C1473" s="55" t="s">
        <v>4772</v>
      </c>
      <c r="D1473" s="55" t="s">
        <v>4773</v>
      </c>
      <c r="E1473" s="55" t="s">
        <v>4774</v>
      </c>
      <c r="F1473" s="55" t="s">
        <v>2333</v>
      </c>
      <c r="I1473" s="55" t="s">
        <v>1617</v>
      </c>
    </row>
    <row r="1474" customFormat="false" ht="11.25" hidden="false" customHeight="true" outlineLevel="0" collapsed="false">
      <c r="A1474" s="55" t="s">
        <v>2243</v>
      </c>
      <c r="B1474" s="55" t="s">
        <v>16</v>
      </c>
      <c r="C1474" s="55" t="s">
        <v>4775</v>
      </c>
      <c r="D1474" s="55" t="s">
        <v>4776</v>
      </c>
      <c r="E1474" s="55" t="s">
        <v>4777</v>
      </c>
      <c r="F1474" s="55" t="s">
        <v>2387</v>
      </c>
      <c r="I1474" s="55" t="s">
        <v>1617</v>
      </c>
    </row>
    <row r="1475" customFormat="false" ht="11.25" hidden="false" customHeight="true" outlineLevel="0" collapsed="false">
      <c r="A1475" s="55" t="s">
        <v>2243</v>
      </c>
      <c r="B1475" s="55" t="s">
        <v>16</v>
      </c>
      <c r="C1475" s="55" t="s">
        <v>3036</v>
      </c>
      <c r="D1475" s="55" t="s">
        <v>3037</v>
      </c>
      <c r="E1475" s="55" t="s">
        <v>3038</v>
      </c>
      <c r="F1475" s="55" t="s">
        <v>2274</v>
      </c>
      <c r="G1475" s="55" t="s">
        <v>3039</v>
      </c>
      <c r="I1475" s="55" t="s">
        <v>1617</v>
      </c>
    </row>
    <row r="1476" customFormat="false" ht="11.25" hidden="false" customHeight="true" outlineLevel="0" collapsed="false">
      <c r="A1476" s="55" t="s">
        <v>2243</v>
      </c>
      <c r="B1476" s="55" t="s">
        <v>16</v>
      </c>
      <c r="C1476" s="55" t="s">
        <v>3050</v>
      </c>
      <c r="D1476" s="55" t="s">
        <v>3051</v>
      </c>
      <c r="E1476" s="55" t="s">
        <v>3052</v>
      </c>
      <c r="F1476" s="55" t="s">
        <v>2338</v>
      </c>
      <c r="G1476" s="55" t="s">
        <v>3053</v>
      </c>
      <c r="I1476" s="55" t="s">
        <v>1617</v>
      </c>
    </row>
    <row r="1477" customFormat="false" ht="11.25" hidden="false" customHeight="true" outlineLevel="0" collapsed="false">
      <c r="A1477" s="55" t="s">
        <v>2243</v>
      </c>
      <c r="B1477" s="55" t="s">
        <v>16</v>
      </c>
      <c r="C1477" s="55" t="s">
        <v>4778</v>
      </c>
      <c r="D1477" s="55" t="s">
        <v>4779</v>
      </c>
      <c r="E1477" s="55" t="s">
        <v>4780</v>
      </c>
      <c r="F1477" s="55" t="s">
        <v>2283</v>
      </c>
      <c r="I1477" s="55" t="s">
        <v>1617</v>
      </c>
    </row>
    <row r="1478" customFormat="false" ht="11.25" hidden="false" customHeight="true" outlineLevel="0" collapsed="false">
      <c r="A1478" s="55" t="s">
        <v>2243</v>
      </c>
      <c r="B1478" s="55" t="s">
        <v>16</v>
      </c>
      <c r="C1478" s="55" t="s">
        <v>4781</v>
      </c>
      <c r="D1478" s="55" t="s">
        <v>4782</v>
      </c>
      <c r="E1478" s="55" t="s">
        <v>4783</v>
      </c>
      <c r="F1478" s="55" t="s">
        <v>2744</v>
      </c>
      <c r="I1478" s="55" t="s">
        <v>1617</v>
      </c>
    </row>
    <row r="1479" customFormat="false" ht="11.25" hidden="false" customHeight="true" outlineLevel="0" collapsed="false">
      <c r="A1479" s="55" t="s">
        <v>2243</v>
      </c>
      <c r="B1479" s="55" t="s">
        <v>16</v>
      </c>
      <c r="C1479" s="55" t="s">
        <v>4784</v>
      </c>
      <c r="D1479" s="55" t="s">
        <v>4785</v>
      </c>
      <c r="E1479" s="55" t="s">
        <v>4786</v>
      </c>
      <c r="F1479" s="55" t="s">
        <v>2338</v>
      </c>
      <c r="I1479" s="55" t="s">
        <v>1617</v>
      </c>
    </row>
    <row r="1480" customFormat="false" ht="11.25" hidden="false" customHeight="true" outlineLevel="0" collapsed="false">
      <c r="A1480" s="55" t="s">
        <v>2243</v>
      </c>
      <c r="B1480" s="55" t="s">
        <v>16</v>
      </c>
      <c r="C1480" s="55" t="s">
        <v>3148</v>
      </c>
      <c r="D1480" s="55" t="s">
        <v>3149</v>
      </c>
      <c r="E1480" s="55" t="s">
        <v>3150</v>
      </c>
      <c r="F1480" s="55" t="s">
        <v>2566</v>
      </c>
      <c r="G1480" s="55" t="s">
        <v>3151</v>
      </c>
      <c r="I1480" s="55" t="s">
        <v>1617</v>
      </c>
    </row>
    <row r="1481" customFormat="false" ht="11.25" hidden="false" customHeight="true" outlineLevel="0" collapsed="false">
      <c r="A1481" s="55" t="s">
        <v>2243</v>
      </c>
      <c r="B1481" s="55" t="s">
        <v>16</v>
      </c>
      <c r="C1481" s="55" t="s">
        <v>4787</v>
      </c>
      <c r="D1481" s="55" t="s">
        <v>4788</v>
      </c>
      <c r="E1481" s="55" t="s">
        <v>4789</v>
      </c>
      <c r="F1481" s="55" t="s">
        <v>2338</v>
      </c>
      <c r="I1481" s="55" t="s">
        <v>1617</v>
      </c>
    </row>
    <row r="1482" customFormat="false" ht="11.25" hidden="false" customHeight="true" outlineLevel="0" collapsed="false">
      <c r="A1482" s="55" t="s">
        <v>2243</v>
      </c>
      <c r="B1482" s="55" t="s">
        <v>16</v>
      </c>
      <c r="C1482" s="55" t="s">
        <v>3166</v>
      </c>
      <c r="D1482" s="55" t="s">
        <v>3167</v>
      </c>
      <c r="E1482" s="55" t="s">
        <v>3168</v>
      </c>
      <c r="F1482" s="55" t="s">
        <v>2247</v>
      </c>
      <c r="G1482" s="55" t="s">
        <v>3169</v>
      </c>
      <c r="I1482" s="55" t="s">
        <v>1617</v>
      </c>
    </row>
    <row r="1483" customFormat="false" ht="11.25" hidden="false" customHeight="true" outlineLevel="0" collapsed="false">
      <c r="A1483" s="55" t="s">
        <v>2243</v>
      </c>
      <c r="B1483" s="55" t="s">
        <v>16</v>
      </c>
      <c r="C1483" s="55" t="s">
        <v>3174</v>
      </c>
      <c r="D1483" s="55" t="s">
        <v>3175</v>
      </c>
      <c r="E1483" s="55" t="s">
        <v>3176</v>
      </c>
      <c r="F1483" s="55" t="s">
        <v>2247</v>
      </c>
      <c r="G1483" s="55" t="s">
        <v>3177</v>
      </c>
      <c r="I1483" s="55" t="s">
        <v>1617</v>
      </c>
    </row>
    <row r="1484" customFormat="false" ht="11.25" hidden="false" customHeight="true" outlineLevel="0" collapsed="false">
      <c r="A1484" s="55" t="s">
        <v>2243</v>
      </c>
      <c r="B1484" s="55" t="s">
        <v>16</v>
      </c>
      <c r="C1484" s="55" t="s">
        <v>3185</v>
      </c>
      <c r="D1484" s="55" t="s">
        <v>3186</v>
      </c>
      <c r="E1484" s="55" t="s">
        <v>3187</v>
      </c>
      <c r="F1484" s="55" t="s">
        <v>2274</v>
      </c>
      <c r="I1484" s="55" t="s">
        <v>1617</v>
      </c>
    </row>
    <row r="1485" customFormat="false" ht="11.25" hidden="false" customHeight="true" outlineLevel="0" collapsed="false">
      <c r="A1485" s="55" t="s">
        <v>2243</v>
      </c>
      <c r="B1485" s="55" t="s">
        <v>16</v>
      </c>
      <c r="C1485" s="55" t="s">
        <v>3188</v>
      </c>
      <c r="D1485" s="55" t="s">
        <v>3189</v>
      </c>
      <c r="E1485" s="55" t="s">
        <v>3190</v>
      </c>
      <c r="F1485" s="55" t="s">
        <v>2566</v>
      </c>
      <c r="G1485" s="55" t="s">
        <v>3191</v>
      </c>
      <c r="I1485" s="55" t="s">
        <v>1617</v>
      </c>
    </row>
    <row r="1486" customFormat="false" ht="11.25" hidden="false" customHeight="true" outlineLevel="0" collapsed="false">
      <c r="A1486" s="55" t="s">
        <v>2243</v>
      </c>
      <c r="B1486" s="55" t="s">
        <v>16</v>
      </c>
      <c r="C1486" s="55" t="s">
        <v>3192</v>
      </c>
      <c r="D1486" s="55" t="s">
        <v>3193</v>
      </c>
      <c r="E1486" s="55" t="s">
        <v>3194</v>
      </c>
      <c r="F1486" s="55" t="s">
        <v>2566</v>
      </c>
      <c r="G1486" s="55" t="s">
        <v>3195</v>
      </c>
      <c r="I1486" s="55" t="s">
        <v>1617</v>
      </c>
    </row>
    <row r="1487" customFormat="false" ht="11.25" hidden="false" customHeight="true" outlineLevel="0" collapsed="false">
      <c r="A1487" s="55" t="s">
        <v>2243</v>
      </c>
      <c r="B1487" s="55" t="s">
        <v>16</v>
      </c>
      <c r="C1487" s="55" t="s">
        <v>3208</v>
      </c>
      <c r="D1487" s="55" t="s">
        <v>3209</v>
      </c>
      <c r="E1487" s="55" t="s">
        <v>3210</v>
      </c>
      <c r="F1487" s="55" t="s">
        <v>2247</v>
      </c>
      <c r="G1487" s="55" t="s">
        <v>3211</v>
      </c>
      <c r="I1487" s="55" t="s">
        <v>1617</v>
      </c>
    </row>
    <row r="1488" customFormat="false" ht="11.25" hidden="false" customHeight="true" outlineLevel="0" collapsed="false">
      <c r="A1488" s="55" t="s">
        <v>2243</v>
      </c>
      <c r="B1488" s="55" t="s">
        <v>16</v>
      </c>
      <c r="C1488" s="55" t="s">
        <v>4790</v>
      </c>
      <c r="D1488" s="55" t="s">
        <v>4791</v>
      </c>
      <c r="E1488" s="55" t="s">
        <v>4792</v>
      </c>
      <c r="F1488" s="55" t="s">
        <v>2318</v>
      </c>
      <c r="I1488" s="55" t="s">
        <v>1617</v>
      </c>
    </row>
    <row r="1489" customFormat="false" ht="11.25" hidden="false" customHeight="true" outlineLevel="0" collapsed="false">
      <c r="A1489" s="55" t="s">
        <v>2243</v>
      </c>
      <c r="B1489" s="55" t="s">
        <v>16</v>
      </c>
      <c r="C1489" s="55" t="s">
        <v>4793</v>
      </c>
      <c r="D1489" s="55" t="s">
        <v>4794</v>
      </c>
      <c r="E1489" s="55" t="s">
        <v>4795</v>
      </c>
      <c r="F1489" s="55" t="s">
        <v>2318</v>
      </c>
      <c r="I1489" s="55" t="s">
        <v>1617</v>
      </c>
    </row>
    <row r="1490" customFormat="false" ht="11.25" hidden="false" customHeight="true" outlineLevel="0" collapsed="false">
      <c r="A1490" s="55" t="s">
        <v>2243</v>
      </c>
      <c r="B1490" s="55" t="s">
        <v>16</v>
      </c>
      <c r="C1490" s="55" t="s">
        <v>4796</v>
      </c>
      <c r="D1490" s="55" t="s">
        <v>4797</v>
      </c>
      <c r="E1490" s="55" t="s">
        <v>4798</v>
      </c>
      <c r="F1490" s="55" t="s">
        <v>2283</v>
      </c>
      <c r="I1490" s="55" t="s">
        <v>1617</v>
      </c>
    </row>
    <row r="1491" customFormat="false" ht="11.25" hidden="false" customHeight="true" outlineLevel="0" collapsed="false">
      <c r="A1491" s="55" t="s">
        <v>2243</v>
      </c>
      <c r="B1491" s="55" t="s">
        <v>16</v>
      </c>
      <c r="C1491" s="55" t="s">
        <v>4799</v>
      </c>
      <c r="D1491" s="55" t="s">
        <v>4800</v>
      </c>
      <c r="E1491" s="55" t="s">
        <v>4801</v>
      </c>
      <c r="F1491" s="55" t="s">
        <v>2318</v>
      </c>
      <c r="I1491" s="55" t="s">
        <v>1617</v>
      </c>
    </row>
    <row r="1492" customFormat="false" ht="11.25" hidden="false" customHeight="true" outlineLevel="0" collapsed="false">
      <c r="A1492" s="55" t="s">
        <v>2243</v>
      </c>
      <c r="B1492" s="55" t="s">
        <v>16</v>
      </c>
      <c r="C1492" s="55" t="s">
        <v>4802</v>
      </c>
      <c r="D1492" s="55" t="s">
        <v>4803</v>
      </c>
      <c r="E1492" s="55" t="s">
        <v>4804</v>
      </c>
      <c r="F1492" s="55" t="s">
        <v>2247</v>
      </c>
      <c r="I1492" s="55" t="s">
        <v>1617</v>
      </c>
    </row>
    <row r="1493" customFormat="false" ht="11.25" hidden="false" customHeight="true" outlineLevel="0" collapsed="false">
      <c r="A1493" s="55" t="s">
        <v>2243</v>
      </c>
      <c r="B1493" s="55" t="s">
        <v>16</v>
      </c>
      <c r="C1493" s="55" t="s">
        <v>4805</v>
      </c>
      <c r="D1493" s="55" t="s">
        <v>4806</v>
      </c>
      <c r="E1493" s="55" t="s">
        <v>4807</v>
      </c>
      <c r="F1493" s="55" t="s">
        <v>2371</v>
      </c>
      <c r="I1493" s="55" t="s">
        <v>1617</v>
      </c>
    </row>
    <row r="1494" customFormat="false" ht="11.25" hidden="false" customHeight="true" outlineLevel="0" collapsed="false">
      <c r="A1494" s="55" t="s">
        <v>2243</v>
      </c>
      <c r="B1494" s="55" t="s">
        <v>16</v>
      </c>
      <c r="C1494" s="55" t="s">
        <v>4808</v>
      </c>
      <c r="D1494" s="55" t="s">
        <v>4809</v>
      </c>
      <c r="E1494" s="55" t="s">
        <v>4810</v>
      </c>
      <c r="F1494" s="55" t="s">
        <v>2470</v>
      </c>
      <c r="I1494" s="55" t="s">
        <v>1617</v>
      </c>
    </row>
    <row r="1495" customFormat="false" ht="11.25" hidden="false" customHeight="true" outlineLevel="0" collapsed="false">
      <c r="A1495" s="55" t="s">
        <v>2243</v>
      </c>
      <c r="B1495" s="55" t="s">
        <v>16</v>
      </c>
      <c r="C1495" s="55" t="s">
        <v>4811</v>
      </c>
      <c r="D1495" s="55" t="s">
        <v>4812</v>
      </c>
      <c r="E1495" s="55" t="s">
        <v>4813</v>
      </c>
      <c r="F1495" s="55" t="s">
        <v>2283</v>
      </c>
      <c r="I1495" s="55" t="s">
        <v>1617</v>
      </c>
    </row>
    <row r="1496" customFormat="false" ht="11.25" hidden="false" customHeight="true" outlineLevel="0" collapsed="false">
      <c r="A1496" s="55" t="s">
        <v>2243</v>
      </c>
      <c r="B1496" s="55" t="s">
        <v>16</v>
      </c>
      <c r="C1496" s="55" t="s">
        <v>4814</v>
      </c>
      <c r="D1496" s="55" t="s">
        <v>4815</v>
      </c>
      <c r="E1496" s="55" t="s">
        <v>4816</v>
      </c>
      <c r="F1496" s="55" t="s">
        <v>2318</v>
      </c>
      <c r="I1496" s="55" t="s">
        <v>1617</v>
      </c>
    </row>
    <row r="1497" customFormat="false" ht="11.25" hidden="false" customHeight="true" outlineLevel="0" collapsed="false">
      <c r="A1497" s="55" t="s">
        <v>2243</v>
      </c>
      <c r="B1497" s="55" t="s">
        <v>16</v>
      </c>
      <c r="C1497" s="55" t="s">
        <v>4817</v>
      </c>
      <c r="D1497" s="55" t="s">
        <v>4818</v>
      </c>
      <c r="E1497" s="55" t="s">
        <v>4819</v>
      </c>
      <c r="F1497" s="55" t="s">
        <v>2371</v>
      </c>
      <c r="I1497" s="55" t="s">
        <v>1617</v>
      </c>
    </row>
    <row r="1498" customFormat="false" ht="11.25" hidden="false" customHeight="true" outlineLevel="0" collapsed="false">
      <c r="A1498" s="55" t="s">
        <v>2243</v>
      </c>
      <c r="B1498" s="55" t="s">
        <v>16</v>
      </c>
      <c r="C1498" s="55" t="s">
        <v>4820</v>
      </c>
      <c r="D1498" s="55" t="s">
        <v>4821</v>
      </c>
      <c r="E1498" s="55" t="s">
        <v>4822</v>
      </c>
      <c r="F1498" s="55" t="s">
        <v>2309</v>
      </c>
      <c r="I1498" s="55" t="s">
        <v>1617</v>
      </c>
    </row>
    <row r="1499" customFormat="false" ht="11.25" hidden="false" customHeight="true" outlineLevel="0" collapsed="false">
      <c r="A1499" s="55" t="s">
        <v>2243</v>
      </c>
      <c r="B1499" s="55" t="s">
        <v>16</v>
      </c>
      <c r="C1499" s="55" t="s">
        <v>4823</v>
      </c>
      <c r="D1499" s="55" t="s">
        <v>4824</v>
      </c>
      <c r="E1499" s="55" t="s">
        <v>4825</v>
      </c>
      <c r="F1499" s="55" t="s">
        <v>2247</v>
      </c>
      <c r="I1499" s="55" t="s">
        <v>1617</v>
      </c>
    </row>
    <row r="1500" customFormat="false" ht="11.25" hidden="false" customHeight="true" outlineLevel="0" collapsed="false">
      <c r="A1500" s="55" t="s">
        <v>2243</v>
      </c>
      <c r="B1500" s="55" t="s">
        <v>16</v>
      </c>
      <c r="C1500" s="55" t="s">
        <v>4826</v>
      </c>
      <c r="D1500" s="55" t="s">
        <v>4827</v>
      </c>
      <c r="E1500" s="55" t="s">
        <v>4828</v>
      </c>
      <c r="F1500" s="55" t="s">
        <v>2371</v>
      </c>
      <c r="I1500" s="55" t="s">
        <v>1617</v>
      </c>
    </row>
    <row r="1501" customFormat="false" ht="11.25" hidden="false" customHeight="true" outlineLevel="0" collapsed="false">
      <c r="A1501" s="55" t="s">
        <v>2243</v>
      </c>
      <c r="B1501" s="55" t="s">
        <v>16</v>
      </c>
      <c r="C1501" s="55" t="s">
        <v>4829</v>
      </c>
      <c r="D1501" s="55" t="s">
        <v>4830</v>
      </c>
      <c r="E1501" s="55" t="s">
        <v>4831</v>
      </c>
      <c r="F1501" s="55" t="s">
        <v>2318</v>
      </c>
      <c r="I1501" s="55" t="s">
        <v>1617</v>
      </c>
    </row>
    <row r="1502" customFormat="false" ht="11.25" hidden="false" customHeight="true" outlineLevel="0" collapsed="false">
      <c r="A1502" s="55" t="s">
        <v>2243</v>
      </c>
      <c r="B1502" s="55" t="s">
        <v>16</v>
      </c>
      <c r="C1502" s="55" t="s">
        <v>4832</v>
      </c>
      <c r="D1502" s="55" t="s">
        <v>4833</v>
      </c>
      <c r="E1502" s="55" t="s">
        <v>4834</v>
      </c>
      <c r="F1502" s="55" t="s">
        <v>2318</v>
      </c>
      <c r="I1502" s="55" t="s">
        <v>1617</v>
      </c>
    </row>
    <row r="1503" customFormat="false" ht="11.25" hidden="false" customHeight="true" outlineLevel="0" collapsed="false">
      <c r="A1503" s="55" t="s">
        <v>2243</v>
      </c>
      <c r="B1503" s="55" t="s">
        <v>16</v>
      </c>
      <c r="C1503" s="55" t="s">
        <v>4835</v>
      </c>
      <c r="D1503" s="55" t="s">
        <v>4836</v>
      </c>
      <c r="E1503" s="55" t="s">
        <v>4837</v>
      </c>
      <c r="F1503" s="55" t="s">
        <v>2371</v>
      </c>
      <c r="I1503" s="55" t="s">
        <v>1617</v>
      </c>
    </row>
    <row r="1504" customFormat="false" ht="11.25" hidden="false" customHeight="true" outlineLevel="0" collapsed="false">
      <c r="A1504" s="55" t="s">
        <v>2243</v>
      </c>
      <c r="B1504" s="55" t="s">
        <v>16</v>
      </c>
      <c r="C1504" s="55" t="s">
        <v>4838</v>
      </c>
      <c r="D1504" s="55" t="s">
        <v>4839</v>
      </c>
      <c r="E1504" s="55" t="s">
        <v>4840</v>
      </c>
      <c r="F1504" s="55" t="s">
        <v>2894</v>
      </c>
      <c r="I1504" s="55" t="s">
        <v>1617</v>
      </c>
    </row>
    <row r="1505" customFormat="false" ht="11.25" hidden="false" customHeight="true" outlineLevel="0" collapsed="false">
      <c r="A1505" s="55" t="s">
        <v>2243</v>
      </c>
      <c r="B1505" s="55" t="s">
        <v>16</v>
      </c>
      <c r="C1505" s="55" t="s">
        <v>4841</v>
      </c>
      <c r="D1505" s="55" t="s">
        <v>4842</v>
      </c>
      <c r="E1505" s="55" t="s">
        <v>4843</v>
      </c>
      <c r="F1505" s="55" t="s">
        <v>2347</v>
      </c>
      <c r="I1505" s="55" t="s">
        <v>1617</v>
      </c>
    </row>
    <row r="1506" customFormat="false" ht="11.25" hidden="false" customHeight="true" outlineLevel="0" collapsed="false">
      <c r="A1506" s="55" t="s">
        <v>2243</v>
      </c>
      <c r="B1506" s="55" t="s">
        <v>16</v>
      </c>
      <c r="C1506" s="55" t="s">
        <v>4844</v>
      </c>
      <c r="D1506" s="55" t="s">
        <v>4845</v>
      </c>
      <c r="E1506" s="55" t="s">
        <v>4846</v>
      </c>
      <c r="F1506" s="55" t="s">
        <v>3708</v>
      </c>
      <c r="I1506" s="55" t="s">
        <v>1617</v>
      </c>
    </row>
    <row r="1507" customFormat="false" ht="11.25" hidden="false" customHeight="true" outlineLevel="0" collapsed="false">
      <c r="A1507" s="55" t="s">
        <v>2243</v>
      </c>
      <c r="B1507" s="55" t="s">
        <v>16</v>
      </c>
      <c r="C1507" s="55" t="s">
        <v>4847</v>
      </c>
      <c r="D1507" s="55" t="s">
        <v>4848</v>
      </c>
      <c r="E1507" s="55" t="s">
        <v>4849</v>
      </c>
      <c r="F1507" s="55" t="s">
        <v>2371</v>
      </c>
      <c r="I1507" s="55" t="s">
        <v>1617</v>
      </c>
    </row>
    <row r="1508" customFormat="false" ht="11.25" hidden="false" customHeight="true" outlineLevel="0" collapsed="false">
      <c r="A1508" s="55" t="s">
        <v>2243</v>
      </c>
      <c r="B1508" s="55" t="s">
        <v>16</v>
      </c>
      <c r="C1508" s="55" t="s">
        <v>4850</v>
      </c>
      <c r="D1508" s="55" t="s">
        <v>4851</v>
      </c>
      <c r="E1508" s="55" t="s">
        <v>4852</v>
      </c>
      <c r="F1508" s="55" t="s">
        <v>2695</v>
      </c>
      <c r="I1508" s="55" t="s">
        <v>1617</v>
      </c>
    </row>
    <row r="1509" customFormat="false" ht="11.25" hidden="false" customHeight="true" outlineLevel="0" collapsed="false">
      <c r="A1509" s="55" t="s">
        <v>2243</v>
      </c>
      <c r="B1509" s="55" t="s">
        <v>16</v>
      </c>
      <c r="C1509" s="55" t="s">
        <v>4853</v>
      </c>
      <c r="D1509" s="55" t="s">
        <v>4854</v>
      </c>
      <c r="E1509" s="55" t="s">
        <v>4855</v>
      </c>
      <c r="F1509" s="55" t="s">
        <v>3642</v>
      </c>
      <c r="I1509" s="55" t="s">
        <v>1617</v>
      </c>
    </row>
    <row r="1510" customFormat="false" ht="11.25" hidden="false" customHeight="true" outlineLevel="0" collapsed="false">
      <c r="A1510" s="55" t="s">
        <v>2243</v>
      </c>
      <c r="B1510" s="55" t="s">
        <v>16</v>
      </c>
      <c r="C1510" s="55" t="s">
        <v>4856</v>
      </c>
      <c r="D1510" s="55" t="s">
        <v>4857</v>
      </c>
      <c r="E1510" s="55" t="s">
        <v>4858</v>
      </c>
      <c r="F1510" s="55" t="s">
        <v>4859</v>
      </c>
      <c r="I1510" s="55" t="s">
        <v>1617</v>
      </c>
    </row>
    <row r="1511" customFormat="false" ht="11.25" hidden="false" customHeight="true" outlineLevel="0" collapsed="false">
      <c r="A1511" s="55" t="s">
        <v>2243</v>
      </c>
      <c r="B1511" s="55" t="s">
        <v>16</v>
      </c>
      <c r="C1511" s="55" t="s">
        <v>4860</v>
      </c>
      <c r="D1511" s="55" t="s">
        <v>4861</v>
      </c>
      <c r="E1511" s="55" t="s">
        <v>4862</v>
      </c>
      <c r="F1511" s="55" t="s">
        <v>2283</v>
      </c>
      <c r="I1511" s="55" t="s">
        <v>1617</v>
      </c>
    </row>
    <row r="1512" customFormat="false" ht="11.25" hidden="false" customHeight="true" outlineLevel="0" collapsed="false">
      <c r="A1512" s="55" t="s">
        <v>2243</v>
      </c>
      <c r="B1512" s="55" t="s">
        <v>16</v>
      </c>
      <c r="C1512" s="55" t="s">
        <v>4863</v>
      </c>
      <c r="D1512" s="55" t="s">
        <v>4864</v>
      </c>
      <c r="E1512" s="55" t="s">
        <v>4865</v>
      </c>
      <c r="F1512" s="55" t="s">
        <v>2470</v>
      </c>
      <c r="I1512" s="55" t="s">
        <v>1617</v>
      </c>
    </row>
    <row r="1513" customFormat="false" ht="11.25" hidden="false" customHeight="true" outlineLevel="0" collapsed="false">
      <c r="A1513" s="55" t="s">
        <v>2243</v>
      </c>
      <c r="B1513" s="55" t="s">
        <v>16</v>
      </c>
      <c r="C1513" s="55" t="s">
        <v>4866</v>
      </c>
      <c r="D1513" s="55" t="s">
        <v>4867</v>
      </c>
      <c r="E1513" s="55" t="s">
        <v>4868</v>
      </c>
      <c r="F1513" s="55" t="s">
        <v>4859</v>
      </c>
      <c r="I1513" s="55" t="s">
        <v>1617</v>
      </c>
    </row>
    <row r="1514" customFormat="false" ht="11.25" hidden="false" customHeight="true" outlineLevel="0" collapsed="false">
      <c r="A1514" s="55" t="s">
        <v>2243</v>
      </c>
      <c r="B1514" s="55" t="s">
        <v>16</v>
      </c>
      <c r="C1514" s="55" t="s">
        <v>4869</v>
      </c>
      <c r="D1514" s="55" t="s">
        <v>4870</v>
      </c>
      <c r="E1514" s="55" t="s">
        <v>4871</v>
      </c>
      <c r="F1514" s="55" t="s">
        <v>2291</v>
      </c>
      <c r="I1514" s="55" t="s">
        <v>1617</v>
      </c>
    </row>
    <row r="1515" customFormat="false" ht="11.25" hidden="false" customHeight="true" outlineLevel="0" collapsed="false">
      <c r="A1515" s="55" t="s">
        <v>2243</v>
      </c>
      <c r="B1515" s="55" t="s">
        <v>16</v>
      </c>
      <c r="C1515" s="55" t="s">
        <v>4872</v>
      </c>
      <c r="D1515" s="55" t="s">
        <v>4873</v>
      </c>
      <c r="E1515" s="55" t="s">
        <v>4874</v>
      </c>
      <c r="F1515" s="55" t="s">
        <v>2283</v>
      </c>
      <c r="I1515" s="55" t="s">
        <v>1617</v>
      </c>
    </row>
    <row r="1516" customFormat="false" ht="11.25" hidden="false" customHeight="true" outlineLevel="0" collapsed="false">
      <c r="A1516" s="55" t="s">
        <v>2243</v>
      </c>
      <c r="B1516" s="55" t="s">
        <v>16</v>
      </c>
      <c r="C1516" s="55" t="s">
        <v>4875</v>
      </c>
      <c r="D1516" s="55" t="s">
        <v>4876</v>
      </c>
      <c r="E1516" s="55" t="s">
        <v>4877</v>
      </c>
      <c r="F1516" s="55" t="s">
        <v>4878</v>
      </c>
      <c r="I1516" s="55" t="s">
        <v>1617</v>
      </c>
    </row>
    <row r="1517" customFormat="false" ht="11.25" hidden="false" customHeight="true" outlineLevel="0" collapsed="false">
      <c r="A1517" s="55" t="s">
        <v>2243</v>
      </c>
      <c r="B1517" s="55" t="s">
        <v>16</v>
      </c>
      <c r="C1517" s="55" t="s">
        <v>4879</v>
      </c>
      <c r="D1517" s="55" t="s">
        <v>4880</v>
      </c>
      <c r="E1517" s="55" t="s">
        <v>4881</v>
      </c>
      <c r="F1517" s="55" t="s">
        <v>2470</v>
      </c>
      <c r="I1517" s="55" t="s">
        <v>1617</v>
      </c>
    </row>
    <row r="1518" customFormat="false" ht="11.25" hidden="false" customHeight="true" outlineLevel="0" collapsed="false">
      <c r="A1518" s="55" t="s">
        <v>2243</v>
      </c>
      <c r="B1518" s="55" t="s">
        <v>16</v>
      </c>
      <c r="C1518" s="55" t="s">
        <v>4882</v>
      </c>
      <c r="D1518" s="55" t="s">
        <v>4883</v>
      </c>
      <c r="E1518" s="55" t="s">
        <v>4884</v>
      </c>
      <c r="F1518" s="55" t="s">
        <v>3735</v>
      </c>
      <c r="I1518" s="55" t="s">
        <v>1617</v>
      </c>
    </row>
    <row r="1519" customFormat="false" ht="11.25" hidden="false" customHeight="true" outlineLevel="0" collapsed="false">
      <c r="A1519" s="55" t="s">
        <v>2243</v>
      </c>
      <c r="B1519" s="55" t="s">
        <v>16</v>
      </c>
      <c r="C1519" s="55" t="s">
        <v>4885</v>
      </c>
      <c r="D1519" s="55" t="s">
        <v>4886</v>
      </c>
      <c r="E1519" s="55" t="s">
        <v>4887</v>
      </c>
      <c r="F1519" s="55" t="s">
        <v>2283</v>
      </c>
      <c r="I1519" s="55" t="s">
        <v>1617</v>
      </c>
    </row>
    <row r="1520" customFormat="false" ht="11.25" hidden="false" customHeight="true" outlineLevel="0" collapsed="false">
      <c r="A1520" s="55" t="s">
        <v>2243</v>
      </c>
      <c r="B1520" s="55" t="s">
        <v>16</v>
      </c>
      <c r="C1520" s="55" t="s">
        <v>4888</v>
      </c>
      <c r="D1520" s="55" t="s">
        <v>4889</v>
      </c>
      <c r="E1520" s="55" t="s">
        <v>4890</v>
      </c>
      <c r="F1520" s="55" t="s">
        <v>2291</v>
      </c>
      <c r="I1520" s="55" t="s">
        <v>1617</v>
      </c>
    </row>
    <row r="1521" customFormat="false" ht="11.25" hidden="false" customHeight="true" outlineLevel="0" collapsed="false">
      <c r="A1521" s="55" t="s">
        <v>2243</v>
      </c>
      <c r="B1521" s="55" t="s">
        <v>16</v>
      </c>
      <c r="C1521" s="55" t="s">
        <v>4891</v>
      </c>
      <c r="D1521" s="55" t="s">
        <v>4892</v>
      </c>
      <c r="E1521" s="55" t="s">
        <v>4893</v>
      </c>
      <c r="F1521" s="55" t="s">
        <v>2274</v>
      </c>
      <c r="I1521" s="55" t="s">
        <v>1617</v>
      </c>
    </row>
    <row r="1522" customFormat="false" ht="11.25" hidden="false" customHeight="true" outlineLevel="0" collapsed="false">
      <c r="A1522" s="55" t="s">
        <v>2243</v>
      </c>
      <c r="B1522" s="55" t="s">
        <v>16</v>
      </c>
      <c r="C1522" s="55" t="s">
        <v>4894</v>
      </c>
      <c r="D1522" s="55" t="s">
        <v>4895</v>
      </c>
      <c r="E1522" s="55" t="s">
        <v>4896</v>
      </c>
      <c r="F1522" s="55" t="s">
        <v>2890</v>
      </c>
      <c r="I1522" s="55" t="s">
        <v>1617</v>
      </c>
    </row>
    <row r="1523" customFormat="false" ht="11.25" hidden="false" customHeight="true" outlineLevel="0" collapsed="false">
      <c r="A1523" s="55" t="s">
        <v>2243</v>
      </c>
      <c r="B1523" s="55" t="s">
        <v>16</v>
      </c>
      <c r="C1523" s="55" t="s">
        <v>4897</v>
      </c>
      <c r="D1523" s="55" t="s">
        <v>4898</v>
      </c>
      <c r="E1523" s="55" t="s">
        <v>4899</v>
      </c>
      <c r="F1523" s="55" t="s">
        <v>2283</v>
      </c>
      <c r="I1523" s="55" t="s">
        <v>1617</v>
      </c>
    </row>
    <row r="1524" customFormat="false" ht="11.25" hidden="false" customHeight="true" outlineLevel="0" collapsed="false">
      <c r="A1524" s="55" t="s">
        <v>2243</v>
      </c>
      <c r="B1524" s="55" t="s">
        <v>16</v>
      </c>
      <c r="C1524" s="55" t="s">
        <v>4900</v>
      </c>
      <c r="D1524" s="55" t="s">
        <v>4901</v>
      </c>
      <c r="E1524" s="55" t="s">
        <v>4902</v>
      </c>
      <c r="F1524" s="55" t="s">
        <v>4859</v>
      </c>
      <c r="I1524" s="55" t="s">
        <v>1617</v>
      </c>
    </row>
    <row r="1525" customFormat="false" ht="11.25" hidden="false" customHeight="true" outlineLevel="0" collapsed="false">
      <c r="A1525" s="55" t="s">
        <v>2243</v>
      </c>
      <c r="B1525" s="55" t="s">
        <v>16</v>
      </c>
      <c r="C1525" s="55" t="s">
        <v>4903</v>
      </c>
      <c r="D1525" s="55" t="s">
        <v>4904</v>
      </c>
      <c r="E1525" s="55" t="s">
        <v>4905</v>
      </c>
      <c r="F1525" s="55" t="s">
        <v>2333</v>
      </c>
      <c r="I1525" s="55" t="s">
        <v>1617</v>
      </c>
    </row>
    <row r="1526" customFormat="false" ht="11.25" hidden="false" customHeight="true" outlineLevel="0" collapsed="false">
      <c r="A1526" s="55" t="s">
        <v>2243</v>
      </c>
      <c r="B1526" s="55" t="s">
        <v>16</v>
      </c>
      <c r="D1526" s="55" t="s">
        <v>4173</v>
      </c>
      <c r="E1526" s="55" t="s">
        <v>4174</v>
      </c>
      <c r="F1526" s="55" t="s">
        <v>2371</v>
      </c>
      <c r="I1526" s="55" t="s">
        <v>1617</v>
      </c>
    </row>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9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cols>
    <col collapsed="false" customWidth="true" hidden="false" outlineLevel="0" max="1" min="1" style="55" width="9.15"/>
  </cols>
  <sheetData>
    <row r="1" customFormat="false" ht="11.25" hidden="false" customHeight="true" outlineLevel="0" collapsed="false">
      <c r="A1" s="55" t="s">
        <v>4906</v>
      </c>
      <c r="B1" s="176" t="s">
        <v>4907</v>
      </c>
      <c r="C1" s="176" t="s">
        <v>4908</v>
      </c>
      <c r="D1" s="176" t="s">
        <v>4909</v>
      </c>
      <c r="E1" s="176" t="s">
        <v>4910</v>
      </c>
      <c r="F1" s="176" t="s">
        <v>4911</v>
      </c>
      <c r="G1" s="176" t="s">
        <v>4912</v>
      </c>
    </row>
    <row r="2" customFormat="false" ht="11.25" hidden="false" customHeight="true" outlineLevel="0" collapsed="false">
      <c r="A2" s="55" t="s">
        <v>16</v>
      </c>
      <c r="B2" s="55" t="s">
        <v>4913</v>
      </c>
      <c r="C2" s="55" t="s">
        <v>4914</v>
      </c>
      <c r="D2" s="55" t="s">
        <v>4913</v>
      </c>
      <c r="E2" s="55" t="s">
        <v>4914</v>
      </c>
      <c r="F2" s="55" t="s">
        <v>4915</v>
      </c>
      <c r="G2" s="55" t="s">
        <v>107</v>
      </c>
    </row>
    <row r="3" customFormat="false" ht="11.25" hidden="false" customHeight="true" outlineLevel="0" collapsed="false">
      <c r="A3" s="55" t="s">
        <v>16</v>
      </c>
      <c r="B3" s="55" t="s">
        <v>4916</v>
      </c>
      <c r="C3" s="55" t="s">
        <v>4917</v>
      </c>
      <c r="D3" s="55" t="s">
        <v>4916</v>
      </c>
      <c r="E3" s="55" t="s">
        <v>4917</v>
      </c>
      <c r="F3" s="55" t="s">
        <v>4915</v>
      </c>
      <c r="G3" s="55" t="s">
        <v>108</v>
      </c>
    </row>
    <row r="4" customFormat="false" ht="11.25" hidden="false" customHeight="true" outlineLevel="0" collapsed="false">
      <c r="A4" s="55" t="s">
        <v>16</v>
      </c>
      <c r="B4" s="55" t="s">
        <v>4918</v>
      </c>
      <c r="C4" s="55" t="s">
        <v>4919</v>
      </c>
      <c r="D4" s="55" t="s">
        <v>4918</v>
      </c>
      <c r="E4" s="55" t="s">
        <v>4919</v>
      </c>
      <c r="F4" s="55" t="s">
        <v>4915</v>
      </c>
      <c r="G4" s="55" t="s">
        <v>88</v>
      </c>
    </row>
    <row r="5" customFormat="false" ht="11.25" hidden="false" customHeight="true" outlineLevel="0" collapsed="false">
      <c r="A5" s="55" t="s">
        <v>16</v>
      </c>
      <c r="B5" s="55" t="s">
        <v>4920</v>
      </c>
      <c r="C5" s="55" t="s">
        <v>4921</v>
      </c>
      <c r="D5" s="55" t="s">
        <v>4920</v>
      </c>
      <c r="E5" s="55" t="s">
        <v>4921</v>
      </c>
      <c r="F5" s="55" t="s">
        <v>4915</v>
      </c>
      <c r="G5" s="55" t="s">
        <v>89</v>
      </c>
    </row>
    <row r="6" customFormat="false" ht="11.25" hidden="false" customHeight="true" outlineLevel="0" collapsed="false">
      <c r="A6" s="55" t="s">
        <v>16</v>
      </c>
      <c r="B6" s="55" t="s">
        <v>4922</v>
      </c>
      <c r="C6" s="55" t="s">
        <v>4923</v>
      </c>
      <c r="D6" s="55" t="s">
        <v>4922</v>
      </c>
      <c r="E6" s="55" t="s">
        <v>4923</v>
      </c>
      <c r="F6" s="55" t="s">
        <v>4915</v>
      </c>
      <c r="G6" s="55" t="s">
        <v>109</v>
      </c>
    </row>
    <row r="7" customFormat="false" ht="11.25" hidden="false" customHeight="true" outlineLevel="0" collapsed="false">
      <c r="A7" s="55" t="s">
        <v>16</v>
      </c>
      <c r="B7" s="55" t="s">
        <v>4924</v>
      </c>
      <c r="C7" s="55" t="s">
        <v>4925</v>
      </c>
      <c r="D7" s="55" t="s">
        <v>4926</v>
      </c>
      <c r="E7" s="55" t="s">
        <v>4927</v>
      </c>
      <c r="F7" s="55" t="s">
        <v>4928</v>
      </c>
      <c r="G7" s="55" t="s">
        <v>90</v>
      </c>
    </row>
    <row r="8" customFormat="false" ht="11.25" hidden="false" customHeight="true" outlineLevel="0" collapsed="false">
      <c r="A8" s="55" t="s">
        <v>16</v>
      </c>
      <c r="B8" s="55" t="s">
        <v>4924</v>
      </c>
      <c r="C8" s="55" t="s">
        <v>4925</v>
      </c>
      <c r="D8" s="55" t="s">
        <v>4924</v>
      </c>
      <c r="E8" s="55" t="s">
        <v>4925</v>
      </c>
      <c r="F8" s="55" t="s">
        <v>4929</v>
      </c>
      <c r="G8" s="55" t="s">
        <v>91</v>
      </c>
    </row>
    <row r="9" customFormat="false" ht="11.25" hidden="false" customHeight="true" outlineLevel="0" collapsed="false">
      <c r="A9" s="55" t="s">
        <v>16</v>
      </c>
      <c r="B9" s="55" t="s">
        <v>4924</v>
      </c>
      <c r="C9" s="55" t="s">
        <v>4925</v>
      </c>
      <c r="D9" s="55" t="s">
        <v>4930</v>
      </c>
      <c r="E9" s="55" t="s">
        <v>4931</v>
      </c>
      <c r="F9" s="55" t="s">
        <v>4928</v>
      </c>
      <c r="G9" s="55" t="s">
        <v>110</v>
      </c>
    </row>
    <row r="10" customFormat="false" ht="11.25" hidden="false" customHeight="true" outlineLevel="0" collapsed="false">
      <c r="A10" s="55" t="s">
        <v>16</v>
      </c>
      <c r="B10" s="55" t="s">
        <v>4924</v>
      </c>
      <c r="C10" s="55" t="s">
        <v>4925</v>
      </c>
      <c r="D10" s="55" t="s">
        <v>4932</v>
      </c>
      <c r="E10" s="55" t="s">
        <v>4933</v>
      </c>
      <c r="F10" s="55" t="s">
        <v>4928</v>
      </c>
      <c r="G10" s="55" t="s">
        <v>147</v>
      </c>
    </row>
    <row r="11" customFormat="false" ht="11.25" hidden="false" customHeight="true" outlineLevel="0" collapsed="false">
      <c r="A11" s="55" t="s">
        <v>16</v>
      </c>
      <c r="B11" s="55" t="s">
        <v>4934</v>
      </c>
      <c r="C11" s="55" t="s">
        <v>4935</v>
      </c>
      <c r="D11" s="55" t="s">
        <v>4934</v>
      </c>
      <c r="E11" s="55" t="s">
        <v>4935</v>
      </c>
      <c r="F11" s="55" t="s">
        <v>4915</v>
      </c>
      <c r="G11" s="55" t="s">
        <v>148</v>
      </c>
    </row>
    <row r="12" customFormat="false" ht="11.25" hidden="false" customHeight="true" outlineLevel="0" collapsed="false">
      <c r="A12" s="55" t="s">
        <v>16</v>
      </c>
      <c r="B12" s="55" t="s">
        <v>4936</v>
      </c>
      <c r="C12" s="55" t="s">
        <v>4937</v>
      </c>
      <c r="D12" s="55" t="s">
        <v>4936</v>
      </c>
      <c r="E12" s="55" t="s">
        <v>4937</v>
      </c>
      <c r="F12" s="55" t="s">
        <v>4915</v>
      </c>
      <c r="G12" s="55" t="s">
        <v>149</v>
      </c>
    </row>
    <row r="13" customFormat="false" ht="11.25" hidden="false" customHeight="true" outlineLevel="0" collapsed="false">
      <c r="A13" s="55" t="s">
        <v>16</v>
      </c>
      <c r="B13" s="55" t="s">
        <v>4938</v>
      </c>
      <c r="C13" s="55" t="s">
        <v>4939</v>
      </c>
      <c r="D13" s="55" t="s">
        <v>4938</v>
      </c>
      <c r="E13" s="55" t="s">
        <v>4939</v>
      </c>
      <c r="F13" s="55" t="s">
        <v>4915</v>
      </c>
      <c r="G13" s="55" t="s">
        <v>150</v>
      </c>
    </row>
    <row r="14" customFormat="false" ht="11.25" hidden="false" customHeight="true" outlineLevel="0" collapsed="false">
      <c r="A14" s="55" t="s">
        <v>16</v>
      </c>
      <c r="B14" s="55" t="s">
        <v>4940</v>
      </c>
      <c r="C14" s="55" t="s">
        <v>4941</v>
      </c>
      <c r="D14" s="55" t="s">
        <v>4940</v>
      </c>
      <c r="E14" s="55" t="s">
        <v>4941</v>
      </c>
      <c r="F14" s="55" t="s">
        <v>4915</v>
      </c>
      <c r="G14" s="55" t="s">
        <v>151</v>
      </c>
    </row>
    <row r="15" customFormat="false" ht="11.25" hidden="false" customHeight="true" outlineLevel="0" collapsed="false">
      <c r="A15" s="55" t="s">
        <v>16</v>
      </c>
      <c r="B15" s="55" t="s">
        <v>4942</v>
      </c>
      <c r="C15" s="55" t="s">
        <v>4943</v>
      </c>
      <c r="D15" s="55" t="s">
        <v>4942</v>
      </c>
      <c r="E15" s="55" t="s">
        <v>4943</v>
      </c>
      <c r="F15" s="55" t="s">
        <v>4915</v>
      </c>
      <c r="G15" s="55" t="s">
        <v>152</v>
      </c>
    </row>
    <row r="16" customFormat="false" ht="11.25" hidden="false" customHeight="true" outlineLevel="0" collapsed="false">
      <c r="A16" s="55" t="s">
        <v>16</v>
      </c>
      <c r="B16" s="55" t="s">
        <v>4944</v>
      </c>
      <c r="C16" s="55" t="s">
        <v>4945</v>
      </c>
      <c r="D16" s="55" t="s">
        <v>4944</v>
      </c>
      <c r="E16" s="55" t="s">
        <v>4945</v>
      </c>
      <c r="F16" s="55" t="s">
        <v>4915</v>
      </c>
      <c r="G16" s="55" t="s">
        <v>1460</v>
      </c>
    </row>
    <row r="17" customFormat="false" ht="11.25" hidden="false" customHeight="true" outlineLevel="0" collapsed="false">
      <c r="A17" s="55" t="s">
        <v>16</v>
      </c>
      <c r="B17" s="55" t="s">
        <v>4946</v>
      </c>
      <c r="C17" s="55" t="s">
        <v>4947</v>
      </c>
      <c r="D17" s="55" t="s">
        <v>4946</v>
      </c>
      <c r="E17" s="55" t="s">
        <v>4947</v>
      </c>
      <c r="F17" s="55" t="s">
        <v>4915</v>
      </c>
      <c r="G17" s="55" t="s">
        <v>1466</v>
      </c>
    </row>
    <row r="18" customFormat="false" ht="11.25" hidden="false" customHeight="true" outlineLevel="0" collapsed="false">
      <c r="A18" s="55" t="s">
        <v>16</v>
      </c>
      <c r="B18" s="55" t="s">
        <v>4948</v>
      </c>
      <c r="C18" s="55" t="s">
        <v>4949</v>
      </c>
      <c r="D18" s="55" t="s">
        <v>4948</v>
      </c>
      <c r="E18" s="55" t="s">
        <v>4949</v>
      </c>
      <c r="F18" s="55" t="s">
        <v>4915</v>
      </c>
      <c r="G18" s="55" t="s">
        <v>1478</v>
      </c>
    </row>
    <row r="19" customFormat="false" ht="11.25" hidden="false" customHeight="true" outlineLevel="0" collapsed="false">
      <c r="A19" s="55" t="s">
        <v>16</v>
      </c>
      <c r="B19" s="55" t="s">
        <v>4950</v>
      </c>
      <c r="C19" s="55" t="s">
        <v>4951</v>
      </c>
      <c r="D19" s="55" t="s">
        <v>4950</v>
      </c>
      <c r="E19" s="55" t="s">
        <v>4951</v>
      </c>
      <c r="F19" s="55" t="s">
        <v>4915</v>
      </c>
      <c r="G19" s="55" t="s">
        <v>1492</v>
      </c>
    </row>
    <row r="20" customFormat="false" ht="11.25" hidden="false" customHeight="true" outlineLevel="0" collapsed="false">
      <c r="A20" s="55" t="s">
        <v>16</v>
      </c>
      <c r="B20" s="55" t="s">
        <v>4952</v>
      </c>
      <c r="C20" s="55" t="s">
        <v>4953</v>
      </c>
      <c r="D20" s="55" t="s">
        <v>4952</v>
      </c>
      <c r="E20" s="55" t="s">
        <v>4953</v>
      </c>
      <c r="F20" s="55" t="s">
        <v>4915</v>
      </c>
      <c r="G20" s="55" t="s">
        <v>1504</v>
      </c>
    </row>
    <row r="21" customFormat="false" ht="11.25" hidden="false" customHeight="true" outlineLevel="0" collapsed="false">
      <c r="A21" s="55" t="s">
        <v>16</v>
      </c>
      <c r="B21" s="55" t="s">
        <v>4954</v>
      </c>
      <c r="C21" s="55" t="s">
        <v>4955</v>
      </c>
      <c r="D21" s="55" t="s">
        <v>4954</v>
      </c>
      <c r="E21" s="55" t="s">
        <v>4955</v>
      </c>
      <c r="F21" s="55" t="s">
        <v>4915</v>
      </c>
      <c r="G21" s="55" t="s">
        <v>1513</v>
      </c>
    </row>
    <row r="22" customFormat="false" ht="11.25" hidden="false" customHeight="true" outlineLevel="0" collapsed="false">
      <c r="A22" s="55" t="s">
        <v>16</v>
      </c>
      <c r="B22" s="55" t="s">
        <v>4956</v>
      </c>
      <c r="C22" s="55" t="s">
        <v>4957</v>
      </c>
      <c r="D22" s="55" t="s">
        <v>4956</v>
      </c>
      <c r="E22" s="55" t="s">
        <v>4957</v>
      </c>
      <c r="F22" s="55" t="s">
        <v>4915</v>
      </c>
      <c r="G22" s="55" t="s">
        <v>1529</v>
      </c>
    </row>
    <row r="23" customFormat="false" ht="11.25" hidden="false" customHeight="true" outlineLevel="0" collapsed="false">
      <c r="A23" s="55" t="s">
        <v>16</v>
      </c>
      <c r="B23" s="55" t="s">
        <v>4958</v>
      </c>
      <c r="C23" s="55" t="s">
        <v>4959</v>
      </c>
      <c r="D23" s="55" t="s">
        <v>4958</v>
      </c>
      <c r="E23" s="55" t="s">
        <v>4959</v>
      </c>
      <c r="F23" s="55" t="s">
        <v>4915</v>
      </c>
      <c r="G23" s="55" t="s">
        <v>1536</v>
      </c>
    </row>
    <row r="24" customFormat="false" ht="11.25" hidden="false" customHeight="true" outlineLevel="0" collapsed="false">
      <c r="A24" s="55" t="s">
        <v>16</v>
      </c>
      <c r="B24" s="55" t="s">
        <v>4960</v>
      </c>
      <c r="C24" s="55" t="s">
        <v>4961</v>
      </c>
      <c r="D24" s="55" t="s">
        <v>4960</v>
      </c>
      <c r="E24" s="55" t="s">
        <v>4961</v>
      </c>
      <c r="F24" s="55" t="s">
        <v>4915</v>
      </c>
      <c r="G24" s="55" t="s">
        <v>1544</v>
      </c>
    </row>
    <row r="25" customFormat="false" ht="11.25" hidden="false" customHeight="true" outlineLevel="0" collapsed="false">
      <c r="A25" s="55" t="s">
        <v>16</v>
      </c>
      <c r="B25" s="55" t="s">
        <v>4962</v>
      </c>
      <c r="C25" s="55" t="s">
        <v>4963</v>
      </c>
      <c r="D25" s="55" t="s">
        <v>4962</v>
      </c>
      <c r="E25" s="55" t="s">
        <v>4963</v>
      </c>
      <c r="F25" s="55" t="s">
        <v>4915</v>
      </c>
      <c r="G25" s="55" t="s">
        <v>1551</v>
      </c>
    </row>
    <row r="26" customFormat="false" ht="11.25" hidden="false" customHeight="true" outlineLevel="0" collapsed="false">
      <c r="A26" s="55" t="s">
        <v>16</v>
      </c>
      <c r="B26" s="55" t="s">
        <v>4964</v>
      </c>
      <c r="C26" s="55" t="s">
        <v>4965</v>
      </c>
      <c r="D26" s="55" t="s">
        <v>4964</v>
      </c>
      <c r="E26" s="55" t="s">
        <v>4965</v>
      </c>
      <c r="F26" s="55" t="s">
        <v>4915</v>
      </c>
      <c r="G26" s="55" t="s">
        <v>1555</v>
      </c>
    </row>
    <row r="27" customFormat="false" ht="11.25" hidden="false" customHeight="true" outlineLevel="0" collapsed="false">
      <c r="A27" s="55" t="s">
        <v>16</v>
      </c>
      <c r="B27" s="55" t="s">
        <v>4966</v>
      </c>
      <c r="C27" s="55" t="s">
        <v>4967</v>
      </c>
      <c r="D27" s="55" t="s">
        <v>4966</v>
      </c>
      <c r="E27" s="55" t="s">
        <v>4967</v>
      </c>
      <c r="F27" s="55" t="s">
        <v>4915</v>
      </c>
      <c r="G27" s="55" t="s">
        <v>1560</v>
      </c>
    </row>
    <row r="28" customFormat="false" ht="11.25" hidden="false" customHeight="true" outlineLevel="0" collapsed="false">
      <c r="A28" s="55" t="s">
        <v>16</v>
      </c>
      <c r="B28" s="55" t="s">
        <v>4968</v>
      </c>
      <c r="C28" s="55" t="s">
        <v>4969</v>
      </c>
      <c r="D28" s="55" t="s">
        <v>4968</v>
      </c>
      <c r="E28" s="55" t="s">
        <v>4969</v>
      </c>
      <c r="F28" s="55" t="s">
        <v>4915</v>
      </c>
      <c r="G28" s="55" t="s">
        <v>1568</v>
      </c>
    </row>
    <row r="29" customFormat="false" ht="11.25" hidden="false" customHeight="true" outlineLevel="0" collapsed="false">
      <c r="A29" s="55" t="s">
        <v>16</v>
      </c>
      <c r="B29" s="55" t="s">
        <v>4970</v>
      </c>
      <c r="C29" s="55" t="s">
        <v>4971</v>
      </c>
      <c r="D29" s="55" t="s">
        <v>4972</v>
      </c>
      <c r="E29" s="55" t="s">
        <v>4973</v>
      </c>
      <c r="F29" s="55" t="s">
        <v>4974</v>
      </c>
      <c r="G29" s="55" t="s">
        <v>1570</v>
      </c>
    </row>
    <row r="30" customFormat="false" ht="11.25" hidden="false" customHeight="true" outlineLevel="0" collapsed="false">
      <c r="A30" s="55" t="s">
        <v>16</v>
      </c>
      <c r="B30" s="55" t="s">
        <v>4970</v>
      </c>
      <c r="C30" s="55" t="s">
        <v>4971</v>
      </c>
      <c r="D30" s="55" t="s">
        <v>4975</v>
      </c>
      <c r="E30" s="55" t="s">
        <v>4976</v>
      </c>
      <c r="F30" s="55" t="s">
        <v>4928</v>
      </c>
      <c r="G30" s="55" t="s">
        <v>1573</v>
      </c>
    </row>
    <row r="31" customFormat="false" ht="11.25" hidden="false" customHeight="true" outlineLevel="0" collapsed="false">
      <c r="A31" s="55" t="s">
        <v>16</v>
      </c>
      <c r="B31" s="55" t="s">
        <v>4970</v>
      </c>
      <c r="C31" s="55" t="s">
        <v>4971</v>
      </c>
      <c r="D31" s="55" t="s">
        <v>4977</v>
      </c>
      <c r="E31" s="55" t="s">
        <v>4978</v>
      </c>
      <c r="F31" s="55" t="s">
        <v>4979</v>
      </c>
      <c r="G31" s="55" t="s">
        <v>1579</v>
      </c>
    </row>
    <row r="32" customFormat="false" ht="11.25" hidden="false" customHeight="true" outlineLevel="0" collapsed="false">
      <c r="A32" s="55" t="s">
        <v>16</v>
      </c>
      <c r="B32" s="55" t="s">
        <v>4970</v>
      </c>
      <c r="C32" s="55" t="s">
        <v>4971</v>
      </c>
      <c r="D32" s="55" t="s">
        <v>4970</v>
      </c>
      <c r="E32" s="55" t="s">
        <v>4971</v>
      </c>
      <c r="F32" s="55" t="s">
        <v>4929</v>
      </c>
      <c r="G32" s="55" t="s">
        <v>1581</v>
      </c>
    </row>
    <row r="33" customFormat="false" ht="11.25" hidden="false" customHeight="true" outlineLevel="0" collapsed="false">
      <c r="A33" s="55" t="s">
        <v>16</v>
      </c>
      <c r="B33" s="55" t="s">
        <v>4970</v>
      </c>
      <c r="C33" s="55" t="s">
        <v>4971</v>
      </c>
      <c r="D33" s="55" t="s">
        <v>4980</v>
      </c>
      <c r="E33" s="55" t="s">
        <v>4981</v>
      </c>
      <c r="F33" s="55" t="s">
        <v>4979</v>
      </c>
      <c r="G33" s="55" t="s">
        <v>1583</v>
      </c>
    </row>
    <row r="34" customFormat="false" ht="11.25" hidden="false" customHeight="true" outlineLevel="0" collapsed="false">
      <c r="A34" s="55" t="s">
        <v>16</v>
      </c>
      <c r="B34" s="55" t="s">
        <v>4970</v>
      </c>
      <c r="C34" s="55" t="s">
        <v>4971</v>
      </c>
      <c r="D34" s="55" t="s">
        <v>4982</v>
      </c>
      <c r="E34" s="55" t="s">
        <v>4983</v>
      </c>
      <c r="F34" s="55" t="s">
        <v>4974</v>
      </c>
      <c r="G34" s="55" t="s">
        <v>1585</v>
      </c>
    </row>
    <row r="35" customFormat="false" ht="11.25" hidden="false" customHeight="true" outlineLevel="0" collapsed="false">
      <c r="A35" s="55" t="s">
        <v>16</v>
      </c>
      <c r="B35" s="55" t="s">
        <v>4970</v>
      </c>
      <c r="C35" s="55" t="s">
        <v>4971</v>
      </c>
      <c r="D35" s="55" t="s">
        <v>4984</v>
      </c>
      <c r="E35" s="55" t="s">
        <v>4985</v>
      </c>
      <c r="F35" s="55" t="s">
        <v>4974</v>
      </c>
      <c r="G35" s="55" t="s">
        <v>1590</v>
      </c>
    </row>
    <row r="36" customFormat="false" ht="11.25" hidden="false" customHeight="true" outlineLevel="0" collapsed="false">
      <c r="A36" s="55" t="s">
        <v>16</v>
      </c>
      <c r="B36" s="55" t="s">
        <v>4986</v>
      </c>
      <c r="C36" s="55" t="s">
        <v>4987</v>
      </c>
      <c r="D36" s="55" t="s">
        <v>4986</v>
      </c>
      <c r="E36" s="55" t="s">
        <v>4987</v>
      </c>
      <c r="F36" s="55" t="s">
        <v>4915</v>
      </c>
      <c r="G36" s="55" t="s">
        <v>1595</v>
      </c>
    </row>
    <row r="37" customFormat="false" ht="11.25" hidden="false" customHeight="true" outlineLevel="0" collapsed="false">
      <c r="A37" s="55" t="s">
        <v>16</v>
      </c>
      <c r="B37" s="55" t="s">
        <v>4988</v>
      </c>
      <c r="C37" s="55" t="s">
        <v>4989</v>
      </c>
      <c r="D37" s="55" t="s">
        <v>4988</v>
      </c>
      <c r="E37" s="55" t="s">
        <v>4989</v>
      </c>
      <c r="F37" s="55" t="s">
        <v>4915</v>
      </c>
      <c r="G37" s="55" t="s">
        <v>1599</v>
      </c>
    </row>
    <row r="38" customFormat="false" ht="11.25" hidden="false" customHeight="true" outlineLevel="0" collapsed="false">
      <c r="A38" s="55" t="s">
        <v>16</v>
      </c>
      <c r="B38" s="55" t="s">
        <v>4990</v>
      </c>
      <c r="C38" s="55" t="s">
        <v>4991</v>
      </c>
      <c r="D38" s="55" t="s">
        <v>4990</v>
      </c>
      <c r="E38" s="55" t="s">
        <v>4991</v>
      </c>
      <c r="F38" s="55" t="s">
        <v>4915</v>
      </c>
      <c r="G38" s="55" t="s">
        <v>1607</v>
      </c>
    </row>
    <row r="39" customFormat="false" ht="11.25" hidden="false" customHeight="true" outlineLevel="0" collapsed="false">
      <c r="A39" s="55" t="s">
        <v>16</v>
      </c>
      <c r="B39" s="55" t="s">
        <v>4992</v>
      </c>
      <c r="C39" s="55" t="s">
        <v>4993</v>
      </c>
      <c r="D39" s="55" t="s">
        <v>4992</v>
      </c>
      <c r="E39" s="55" t="s">
        <v>4993</v>
      </c>
      <c r="F39" s="55" t="s">
        <v>4915</v>
      </c>
      <c r="G39" s="55" t="s">
        <v>1613</v>
      </c>
    </row>
    <row r="40" customFormat="false" ht="11.25" hidden="false" customHeight="true" outlineLevel="0" collapsed="false">
      <c r="A40" s="55" t="s">
        <v>16</v>
      </c>
      <c r="B40" s="55" t="s">
        <v>4994</v>
      </c>
      <c r="C40" s="55" t="s">
        <v>4995</v>
      </c>
      <c r="D40" s="55" t="s">
        <v>4994</v>
      </c>
      <c r="E40" s="55" t="s">
        <v>4995</v>
      </c>
      <c r="F40" s="55" t="s">
        <v>4915</v>
      </c>
      <c r="G40" s="55" t="s">
        <v>1618</v>
      </c>
    </row>
    <row r="41" customFormat="false" ht="11.25" hidden="false" customHeight="true" outlineLevel="0" collapsed="false">
      <c r="A41" s="55" t="s">
        <v>16</v>
      </c>
      <c r="B41" s="55" t="s">
        <v>4996</v>
      </c>
      <c r="C41" s="55" t="s">
        <v>4997</v>
      </c>
      <c r="D41" s="55" t="s">
        <v>4996</v>
      </c>
      <c r="E41" s="55" t="s">
        <v>4997</v>
      </c>
      <c r="F41" s="55" t="s">
        <v>4915</v>
      </c>
      <c r="G41" s="55" t="s">
        <v>1622</v>
      </c>
    </row>
    <row r="42" customFormat="false" ht="11.25" hidden="false" customHeight="true" outlineLevel="0" collapsed="false">
      <c r="A42" s="55" t="s">
        <v>16</v>
      </c>
      <c r="B42" s="55" t="s">
        <v>4998</v>
      </c>
      <c r="C42" s="55" t="s">
        <v>4999</v>
      </c>
      <c r="D42" s="55" t="s">
        <v>4998</v>
      </c>
      <c r="E42" s="55" t="s">
        <v>4999</v>
      </c>
      <c r="F42" s="55" t="s">
        <v>4915</v>
      </c>
      <c r="G42" s="55" t="s">
        <v>1625</v>
      </c>
    </row>
    <row r="43" customFormat="false" ht="11.25" hidden="false" customHeight="true" outlineLevel="0" collapsed="false">
      <c r="A43" s="55" t="s">
        <v>16</v>
      </c>
      <c r="B43" s="55" t="s">
        <v>98</v>
      </c>
      <c r="C43" s="55" t="s">
        <v>99</v>
      </c>
      <c r="D43" s="55" t="s">
        <v>98</v>
      </c>
      <c r="E43" s="55" t="s">
        <v>99</v>
      </c>
      <c r="F43" s="55" t="s">
        <v>4915</v>
      </c>
      <c r="G43" s="55" t="s">
        <v>97</v>
      </c>
    </row>
    <row r="44" customFormat="false" ht="11.25" hidden="false" customHeight="true" outlineLevel="0" collapsed="false">
      <c r="A44" s="55" t="s">
        <v>16</v>
      </c>
      <c r="B44" s="55" t="s">
        <v>5000</v>
      </c>
      <c r="C44" s="55" t="s">
        <v>5001</v>
      </c>
      <c r="D44" s="55" t="s">
        <v>5002</v>
      </c>
      <c r="E44" s="55" t="s">
        <v>5003</v>
      </c>
      <c r="F44" s="55" t="s">
        <v>4928</v>
      </c>
      <c r="G44" s="55" t="s">
        <v>1640</v>
      </c>
    </row>
    <row r="45" customFormat="false" ht="11.25" hidden="false" customHeight="true" outlineLevel="0" collapsed="false">
      <c r="A45" s="55" t="s">
        <v>16</v>
      </c>
      <c r="B45" s="55" t="s">
        <v>5000</v>
      </c>
      <c r="C45" s="55" t="s">
        <v>5001</v>
      </c>
      <c r="D45" s="55" t="s">
        <v>5004</v>
      </c>
      <c r="E45" s="55" t="s">
        <v>5005</v>
      </c>
      <c r="F45" s="55" t="s">
        <v>4928</v>
      </c>
      <c r="G45" s="55" t="s">
        <v>1645</v>
      </c>
    </row>
    <row r="46" customFormat="false" ht="11.25" hidden="false" customHeight="true" outlineLevel="0" collapsed="false">
      <c r="A46" s="55" t="s">
        <v>16</v>
      </c>
      <c r="B46" s="55" t="s">
        <v>5000</v>
      </c>
      <c r="C46" s="55" t="s">
        <v>5001</v>
      </c>
      <c r="D46" s="55" t="s">
        <v>5000</v>
      </c>
      <c r="E46" s="55" t="s">
        <v>5001</v>
      </c>
      <c r="F46" s="55" t="s">
        <v>4929</v>
      </c>
      <c r="G46" s="55" t="s">
        <v>1648</v>
      </c>
    </row>
    <row r="47" customFormat="false" ht="11.25" hidden="false" customHeight="true" outlineLevel="0" collapsed="false">
      <c r="A47" s="55" t="s">
        <v>16</v>
      </c>
      <c r="B47" s="55" t="s">
        <v>5000</v>
      </c>
      <c r="C47" s="55" t="s">
        <v>5001</v>
      </c>
      <c r="D47" s="55" t="s">
        <v>5006</v>
      </c>
      <c r="E47" s="55" t="s">
        <v>5007</v>
      </c>
      <c r="F47" s="55" t="s">
        <v>4928</v>
      </c>
      <c r="G47" s="55" t="s">
        <v>1654</v>
      </c>
    </row>
    <row r="48" customFormat="false" ht="11.25" hidden="false" customHeight="true" outlineLevel="0" collapsed="false">
      <c r="A48" s="55" t="s">
        <v>16</v>
      </c>
      <c r="B48" s="55" t="s">
        <v>5000</v>
      </c>
      <c r="C48" s="55" t="s">
        <v>5001</v>
      </c>
      <c r="D48" s="55" t="s">
        <v>5008</v>
      </c>
      <c r="E48" s="55" t="s">
        <v>5009</v>
      </c>
      <c r="F48" s="55" t="s">
        <v>4928</v>
      </c>
      <c r="G48" s="55" t="s">
        <v>1659</v>
      </c>
    </row>
    <row r="49" customFormat="false" ht="11.25" hidden="false" customHeight="true" outlineLevel="0" collapsed="false">
      <c r="A49" s="55" t="s">
        <v>16</v>
      </c>
      <c r="B49" s="55" t="s">
        <v>5010</v>
      </c>
      <c r="C49" s="55" t="s">
        <v>5011</v>
      </c>
      <c r="D49" s="55" t="s">
        <v>5010</v>
      </c>
      <c r="E49" s="55" t="s">
        <v>5011</v>
      </c>
      <c r="F49" s="55" t="s">
        <v>4915</v>
      </c>
      <c r="G49" s="55" t="s">
        <v>1662</v>
      </c>
    </row>
    <row r="50" customFormat="false" ht="11.25" hidden="false" customHeight="true" outlineLevel="0" collapsed="false">
      <c r="A50" s="55" t="s">
        <v>16</v>
      </c>
      <c r="B50" s="55" t="s">
        <v>5012</v>
      </c>
      <c r="C50" s="55" t="s">
        <v>5013</v>
      </c>
      <c r="D50" s="55" t="s">
        <v>5012</v>
      </c>
      <c r="E50" s="55" t="s">
        <v>5013</v>
      </c>
      <c r="F50" s="55" t="s">
        <v>4915</v>
      </c>
      <c r="G50" s="55" t="s">
        <v>1666</v>
      </c>
    </row>
    <row r="51" customFormat="false" ht="11.25" hidden="false" customHeight="true" outlineLevel="0" collapsed="false">
      <c r="A51" s="55" t="s">
        <v>16</v>
      </c>
      <c r="B51" s="55" t="s">
        <v>5014</v>
      </c>
      <c r="C51" s="55" t="s">
        <v>5015</v>
      </c>
      <c r="D51" s="55" t="s">
        <v>5016</v>
      </c>
      <c r="E51" s="55" t="s">
        <v>5017</v>
      </c>
      <c r="F51" s="55" t="s">
        <v>4928</v>
      </c>
      <c r="G51" s="55" t="s">
        <v>1671</v>
      </c>
    </row>
    <row r="52" customFormat="false" ht="11.25" hidden="false" customHeight="true" outlineLevel="0" collapsed="false">
      <c r="A52" s="55" t="s">
        <v>16</v>
      </c>
      <c r="B52" s="55" t="s">
        <v>5014</v>
      </c>
      <c r="C52" s="55" t="s">
        <v>5015</v>
      </c>
      <c r="D52" s="55" t="s">
        <v>5018</v>
      </c>
      <c r="E52" s="55" t="s">
        <v>5019</v>
      </c>
      <c r="F52" s="55" t="s">
        <v>5020</v>
      </c>
      <c r="G52" s="55" t="s">
        <v>1675</v>
      </c>
    </row>
    <row r="53" customFormat="false" ht="11.25" hidden="false" customHeight="true" outlineLevel="0" collapsed="false">
      <c r="A53" s="55" t="s">
        <v>16</v>
      </c>
      <c r="B53" s="55" t="s">
        <v>5014</v>
      </c>
      <c r="C53" s="55" t="s">
        <v>5015</v>
      </c>
      <c r="D53" s="55" t="s">
        <v>5014</v>
      </c>
      <c r="E53" s="55" t="s">
        <v>5015</v>
      </c>
      <c r="F53" s="55" t="s">
        <v>4929</v>
      </c>
      <c r="G53" s="55" t="s">
        <v>1677</v>
      </c>
    </row>
    <row r="54" customFormat="false" ht="11.25" hidden="false" customHeight="true" outlineLevel="0" collapsed="false">
      <c r="A54" s="55" t="s">
        <v>16</v>
      </c>
      <c r="B54" s="55" t="s">
        <v>5014</v>
      </c>
      <c r="C54" s="55" t="s">
        <v>5015</v>
      </c>
      <c r="D54" s="55" t="s">
        <v>5021</v>
      </c>
      <c r="E54" s="55" t="s">
        <v>5022</v>
      </c>
      <c r="F54" s="55" t="s">
        <v>4928</v>
      </c>
      <c r="G54" s="55" t="s">
        <v>1680</v>
      </c>
    </row>
    <row r="55" customFormat="false" ht="11.25" hidden="false" customHeight="true" outlineLevel="0" collapsed="false">
      <c r="A55" s="55" t="s">
        <v>16</v>
      </c>
      <c r="B55" s="55" t="s">
        <v>5014</v>
      </c>
      <c r="C55" s="55" t="s">
        <v>5015</v>
      </c>
      <c r="D55" s="55" t="s">
        <v>5023</v>
      </c>
      <c r="E55" s="55" t="s">
        <v>5024</v>
      </c>
      <c r="F55" s="55" t="s">
        <v>4928</v>
      </c>
      <c r="G55" s="55" t="s">
        <v>1684</v>
      </c>
    </row>
    <row r="56" customFormat="false" ht="11.25" hidden="false" customHeight="true" outlineLevel="0" collapsed="false">
      <c r="A56" s="55" t="s">
        <v>16</v>
      </c>
      <c r="B56" s="55" t="s">
        <v>5025</v>
      </c>
      <c r="C56" s="55" t="s">
        <v>5026</v>
      </c>
      <c r="D56" s="55" t="s">
        <v>5025</v>
      </c>
      <c r="E56" s="55" t="s">
        <v>5026</v>
      </c>
      <c r="F56" s="55" t="s">
        <v>4915</v>
      </c>
      <c r="G56" s="55" t="s">
        <v>1687</v>
      </c>
    </row>
    <row r="57" customFormat="false" ht="11.25" hidden="false" customHeight="true" outlineLevel="0" collapsed="false">
      <c r="A57" s="55" t="s">
        <v>16</v>
      </c>
      <c r="B57" s="55" t="s">
        <v>5027</v>
      </c>
      <c r="C57" s="55" t="s">
        <v>5028</v>
      </c>
      <c r="D57" s="55" t="s">
        <v>5027</v>
      </c>
      <c r="E57" s="55" t="s">
        <v>5028</v>
      </c>
      <c r="F57" s="55" t="s">
        <v>4915</v>
      </c>
      <c r="G57" s="55" t="s">
        <v>1690</v>
      </c>
    </row>
    <row r="58" customFormat="false" ht="11.25" hidden="false" customHeight="true" outlineLevel="0" collapsed="false">
      <c r="A58" s="55" t="s">
        <v>16</v>
      </c>
      <c r="B58" s="55" t="s">
        <v>5029</v>
      </c>
      <c r="C58" s="55" t="s">
        <v>5030</v>
      </c>
      <c r="D58" s="55" t="s">
        <v>5029</v>
      </c>
      <c r="E58" s="55" t="s">
        <v>5030</v>
      </c>
      <c r="F58" s="55" t="s">
        <v>4915</v>
      </c>
      <c r="G58" s="55" t="s">
        <v>1693</v>
      </c>
    </row>
    <row r="59" customFormat="false" ht="11.25" hidden="false" customHeight="true" outlineLevel="0" collapsed="false">
      <c r="A59" s="55" t="s">
        <v>16</v>
      </c>
      <c r="B59" s="55" t="s">
        <v>5031</v>
      </c>
      <c r="C59" s="55" t="s">
        <v>5032</v>
      </c>
      <c r="D59" s="55" t="s">
        <v>5031</v>
      </c>
      <c r="E59" s="55" t="s">
        <v>5032</v>
      </c>
      <c r="F59" s="55" t="s">
        <v>4915</v>
      </c>
      <c r="G59" s="55" t="s">
        <v>1697</v>
      </c>
    </row>
    <row r="60" customFormat="false" ht="11.25" hidden="false" customHeight="true" outlineLevel="0" collapsed="false">
      <c r="A60" s="55" t="s">
        <v>16</v>
      </c>
      <c r="B60" s="55" t="s">
        <v>5033</v>
      </c>
      <c r="C60" s="55" t="s">
        <v>5034</v>
      </c>
      <c r="D60" s="55" t="s">
        <v>5033</v>
      </c>
      <c r="E60" s="55" t="s">
        <v>5034</v>
      </c>
      <c r="F60" s="55" t="s">
        <v>4915</v>
      </c>
      <c r="G60" s="55" t="s">
        <v>1700</v>
      </c>
    </row>
    <row r="61" customFormat="false" ht="11.25" hidden="false" customHeight="true" outlineLevel="0" collapsed="false">
      <c r="A61" s="55" t="s">
        <v>16</v>
      </c>
      <c r="B61" s="55" t="s">
        <v>5035</v>
      </c>
      <c r="C61" s="55" t="s">
        <v>5036</v>
      </c>
      <c r="D61" s="55" t="s">
        <v>5035</v>
      </c>
      <c r="E61" s="55" t="s">
        <v>5036</v>
      </c>
      <c r="F61" s="55" t="s">
        <v>4915</v>
      </c>
      <c r="G61" s="55" t="s">
        <v>5037</v>
      </c>
    </row>
    <row r="62" customFormat="false" ht="11.25" hidden="false" customHeight="true" outlineLevel="0" collapsed="false">
      <c r="A62" s="55" t="s">
        <v>16</v>
      </c>
      <c r="B62" s="55" t="s">
        <v>5038</v>
      </c>
      <c r="C62" s="55" t="s">
        <v>5039</v>
      </c>
      <c r="D62" s="55" t="s">
        <v>5038</v>
      </c>
      <c r="E62" s="55" t="s">
        <v>5039</v>
      </c>
      <c r="F62" s="55" t="s">
        <v>4915</v>
      </c>
      <c r="G62" s="55" t="s">
        <v>5040</v>
      </c>
    </row>
    <row r="63" customFormat="false" ht="11.25" hidden="false" customHeight="true" outlineLevel="0" collapsed="false">
      <c r="A63" s="55" t="s">
        <v>16</v>
      </c>
      <c r="B63" s="55" t="s">
        <v>5041</v>
      </c>
      <c r="C63" s="55" t="s">
        <v>5042</v>
      </c>
      <c r="D63" s="55" t="s">
        <v>5041</v>
      </c>
      <c r="E63" s="55" t="s">
        <v>5042</v>
      </c>
      <c r="F63" s="55" t="s">
        <v>4915</v>
      </c>
      <c r="G63" s="55" t="s">
        <v>5043</v>
      </c>
    </row>
    <row r="64" customFormat="false" ht="11.25" hidden="false" customHeight="true" outlineLevel="0" collapsed="false">
      <c r="A64" s="55" t="s">
        <v>16</v>
      </c>
      <c r="B64" s="55" t="s">
        <v>5044</v>
      </c>
      <c r="C64" s="55" t="s">
        <v>5045</v>
      </c>
      <c r="D64" s="55" t="s">
        <v>5044</v>
      </c>
      <c r="E64" s="55" t="s">
        <v>5045</v>
      </c>
      <c r="F64" s="55" t="s">
        <v>4915</v>
      </c>
      <c r="G64" s="55" t="s">
        <v>5046</v>
      </c>
    </row>
    <row r="65" customFormat="false" ht="11.25" hidden="false" customHeight="true" outlineLevel="0" collapsed="false">
      <c r="A65" s="55" t="s">
        <v>16</v>
      </c>
      <c r="B65" s="55" t="s">
        <v>5047</v>
      </c>
      <c r="C65" s="55" t="s">
        <v>5048</v>
      </c>
      <c r="D65" s="55" t="s">
        <v>5047</v>
      </c>
      <c r="E65" s="55" t="s">
        <v>5048</v>
      </c>
      <c r="F65" s="55" t="s">
        <v>4915</v>
      </c>
      <c r="G65" s="55" t="s">
        <v>5049</v>
      </c>
    </row>
    <row r="66" customFormat="false" ht="11.25" hidden="false" customHeight="true" outlineLevel="0" collapsed="false">
      <c r="A66" s="55" t="s">
        <v>16</v>
      </c>
      <c r="B66" s="55" t="s">
        <v>5050</v>
      </c>
      <c r="C66" s="55" t="s">
        <v>5051</v>
      </c>
      <c r="D66" s="55" t="s">
        <v>5050</v>
      </c>
      <c r="E66" s="55" t="s">
        <v>5051</v>
      </c>
      <c r="F66" s="55" t="s">
        <v>4915</v>
      </c>
      <c r="G66" s="55" t="s">
        <v>5052</v>
      </c>
    </row>
    <row r="67" customFormat="false" ht="11.25" hidden="false" customHeight="true" outlineLevel="0" collapsed="false">
      <c r="A67" s="55" t="s">
        <v>16</v>
      </c>
      <c r="B67" s="55" t="s">
        <v>5053</v>
      </c>
      <c r="C67" s="55" t="s">
        <v>5054</v>
      </c>
      <c r="D67" s="55" t="s">
        <v>5053</v>
      </c>
      <c r="E67" s="55" t="s">
        <v>5054</v>
      </c>
      <c r="F67" s="55" t="s">
        <v>4915</v>
      </c>
      <c r="G67" s="55" t="s">
        <v>2017</v>
      </c>
    </row>
    <row r="68" customFormat="false" ht="11.25" hidden="false" customHeight="true" outlineLevel="0" collapsed="false">
      <c r="A68" s="55" t="s">
        <v>16</v>
      </c>
      <c r="B68" s="55" t="s">
        <v>5055</v>
      </c>
      <c r="C68" s="55" t="s">
        <v>5056</v>
      </c>
      <c r="D68" s="55" t="s">
        <v>5055</v>
      </c>
      <c r="E68" s="55" t="s">
        <v>5056</v>
      </c>
      <c r="F68" s="55" t="s">
        <v>4915</v>
      </c>
      <c r="G68" s="55" t="s">
        <v>5057</v>
      </c>
    </row>
    <row r="69" customFormat="false" ht="11.25" hidden="false" customHeight="true" outlineLevel="0" collapsed="false">
      <c r="A69" s="55" t="s">
        <v>16</v>
      </c>
      <c r="B69" s="55" t="s">
        <v>5058</v>
      </c>
      <c r="C69" s="55" t="s">
        <v>5059</v>
      </c>
      <c r="D69" s="55" t="s">
        <v>5058</v>
      </c>
      <c r="E69" s="55" t="s">
        <v>5059</v>
      </c>
      <c r="F69" s="55" t="s">
        <v>4915</v>
      </c>
      <c r="G69" s="55" t="s">
        <v>2220</v>
      </c>
    </row>
    <row r="70" customFormat="false" ht="11.25" hidden="false" customHeight="true" outlineLevel="0" collapsed="false">
      <c r="A70" s="55" t="s">
        <v>16</v>
      </c>
      <c r="B70" s="55" t="s">
        <v>5060</v>
      </c>
      <c r="C70" s="55" t="s">
        <v>5061</v>
      </c>
      <c r="D70" s="55" t="s">
        <v>5060</v>
      </c>
      <c r="E70" s="55" t="s">
        <v>5061</v>
      </c>
      <c r="F70" s="55" t="s">
        <v>4915</v>
      </c>
      <c r="G70" s="55" t="s">
        <v>5062</v>
      </c>
    </row>
    <row r="71" customFormat="false" ht="11.25" hidden="false" customHeight="true" outlineLevel="0" collapsed="false">
      <c r="A71" s="55" t="s">
        <v>16</v>
      </c>
      <c r="B71" s="55" t="s">
        <v>5063</v>
      </c>
      <c r="C71" s="55" t="s">
        <v>5064</v>
      </c>
      <c r="D71" s="55" t="s">
        <v>5063</v>
      </c>
      <c r="E71" s="55" t="s">
        <v>5064</v>
      </c>
      <c r="F71" s="55" t="s">
        <v>4915</v>
      </c>
      <c r="G71" s="55" t="s">
        <v>5065</v>
      </c>
    </row>
    <row r="72" customFormat="false" ht="11.25" hidden="false" customHeight="true" outlineLevel="0" collapsed="false">
      <c r="A72" s="55" t="s">
        <v>16</v>
      </c>
      <c r="B72" s="55" t="s">
        <v>5066</v>
      </c>
      <c r="C72" s="55" t="s">
        <v>5067</v>
      </c>
      <c r="D72" s="55" t="s">
        <v>5066</v>
      </c>
      <c r="E72" s="55" t="s">
        <v>5067</v>
      </c>
      <c r="F72" s="55" t="s">
        <v>4915</v>
      </c>
      <c r="G72" s="55" t="s">
        <v>5068</v>
      </c>
    </row>
    <row r="73" customFormat="false" ht="11.25" hidden="false" customHeight="true" outlineLevel="0" collapsed="false">
      <c r="A73" s="55" t="s">
        <v>16</v>
      </c>
      <c r="B73" s="55" t="s">
        <v>5069</v>
      </c>
      <c r="C73" s="55" t="s">
        <v>5070</v>
      </c>
      <c r="D73" s="55" t="s">
        <v>5069</v>
      </c>
      <c r="E73" s="55" t="s">
        <v>5070</v>
      </c>
      <c r="F73" s="55" t="s">
        <v>4915</v>
      </c>
      <c r="G73" s="55" t="s">
        <v>5071</v>
      </c>
    </row>
    <row r="74" customFormat="false" ht="11.25" hidden="false" customHeight="true" outlineLevel="0" collapsed="false">
      <c r="A74" s="55" t="s">
        <v>16</v>
      </c>
      <c r="B74" s="55" t="s">
        <v>5072</v>
      </c>
      <c r="C74" s="55" t="s">
        <v>5073</v>
      </c>
      <c r="D74" s="55" t="s">
        <v>5072</v>
      </c>
      <c r="E74" s="55" t="s">
        <v>5073</v>
      </c>
      <c r="F74" s="55" t="s">
        <v>4915</v>
      </c>
      <c r="G74" s="55" t="s">
        <v>5074</v>
      </c>
    </row>
    <row r="75" customFormat="false" ht="11.25" hidden="false" customHeight="true" outlineLevel="0" collapsed="false">
      <c r="A75" s="55" t="s">
        <v>16</v>
      </c>
      <c r="B75" s="55" t="s">
        <v>5075</v>
      </c>
      <c r="C75" s="55" t="s">
        <v>5076</v>
      </c>
      <c r="D75" s="55" t="s">
        <v>5075</v>
      </c>
      <c r="E75" s="55" t="s">
        <v>5076</v>
      </c>
      <c r="F75" s="55" t="s">
        <v>4915</v>
      </c>
      <c r="G75" s="55" t="s">
        <v>5077</v>
      </c>
    </row>
    <row r="76" customFormat="false" ht="11.25" hidden="false" customHeight="true" outlineLevel="0" collapsed="false">
      <c r="A76" s="55" t="s">
        <v>16</v>
      </c>
      <c r="B76" s="55" t="s">
        <v>5078</v>
      </c>
      <c r="C76" s="55" t="s">
        <v>5079</v>
      </c>
      <c r="D76" s="55" t="s">
        <v>5078</v>
      </c>
      <c r="E76" s="55" t="s">
        <v>5079</v>
      </c>
      <c r="F76" s="55" t="s">
        <v>4915</v>
      </c>
      <c r="G76" s="55" t="s">
        <v>5080</v>
      </c>
    </row>
    <row r="77" customFormat="false" ht="11.25" hidden="false" customHeight="true" outlineLevel="0" collapsed="false">
      <c r="A77" s="55" t="s">
        <v>16</v>
      </c>
      <c r="B77" s="55" t="s">
        <v>5081</v>
      </c>
      <c r="C77" s="55" t="s">
        <v>5082</v>
      </c>
      <c r="D77" s="55" t="s">
        <v>5081</v>
      </c>
      <c r="E77" s="55" t="s">
        <v>5082</v>
      </c>
      <c r="F77" s="55" t="s">
        <v>4915</v>
      </c>
      <c r="G77" s="55" t="s">
        <v>5083</v>
      </c>
    </row>
    <row r="78" customFormat="false" ht="11.25" hidden="false" customHeight="true" outlineLevel="0" collapsed="false">
      <c r="A78" s="55" t="s">
        <v>16</v>
      </c>
      <c r="B78" s="55" t="s">
        <v>5084</v>
      </c>
      <c r="C78" s="55" t="s">
        <v>5085</v>
      </c>
      <c r="D78" s="55" t="s">
        <v>5084</v>
      </c>
      <c r="E78" s="55" t="s">
        <v>5085</v>
      </c>
      <c r="F78" s="55" t="s">
        <v>4915</v>
      </c>
      <c r="G78" s="55" t="s">
        <v>5086</v>
      </c>
    </row>
    <row r="79" customFormat="false" ht="11.25" hidden="false" customHeight="true" outlineLevel="0" collapsed="false">
      <c r="A79" s="55" t="s">
        <v>16</v>
      </c>
      <c r="B79" s="55" t="s">
        <v>5087</v>
      </c>
      <c r="C79" s="55" t="s">
        <v>5088</v>
      </c>
      <c r="D79" s="55" t="s">
        <v>5087</v>
      </c>
      <c r="E79" s="55" t="s">
        <v>5088</v>
      </c>
      <c r="F79" s="55" t="s">
        <v>4915</v>
      </c>
      <c r="G79" s="55" t="s">
        <v>5089</v>
      </c>
    </row>
    <row r="80" customFormat="false" ht="11.25" hidden="false" customHeight="true" outlineLevel="0" collapsed="false">
      <c r="A80" s="55" t="s">
        <v>16</v>
      </c>
      <c r="B80" s="55" t="s">
        <v>5090</v>
      </c>
      <c r="C80" s="55" t="s">
        <v>5091</v>
      </c>
      <c r="D80" s="55" t="s">
        <v>5090</v>
      </c>
      <c r="E80" s="55" t="s">
        <v>5091</v>
      </c>
      <c r="F80" s="55" t="s">
        <v>4915</v>
      </c>
      <c r="G80" s="55" t="s">
        <v>5092</v>
      </c>
    </row>
    <row r="81" customFormat="false" ht="11.25" hidden="false" customHeight="true" outlineLevel="0" collapsed="false">
      <c r="A81" s="55" t="s">
        <v>16</v>
      </c>
      <c r="B81" s="55" t="s">
        <v>5093</v>
      </c>
      <c r="C81" s="55" t="s">
        <v>5094</v>
      </c>
      <c r="D81" s="55" t="s">
        <v>5093</v>
      </c>
      <c r="E81" s="55" t="s">
        <v>5094</v>
      </c>
      <c r="F81" s="55" t="s">
        <v>4915</v>
      </c>
      <c r="G81" s="55" t="s">
        <v>5095</v>
      </c>
    </row>
    <row r="82" customFormat="false" ht="11.25" hidden="false" customHeight="true" outlineLevel="0" collapsed="false">
      <c r="A82" s="55" t="s">
        <v>16</v>
      </c>
      <c r="B82" s="55" t="s">
        <v>5096</v>
      </c>
      <c r="C82" s="55" t="s">
        <v>5097</v>
      </c>
      <c r="D82" s="55" t="s">
        <v>5096</v>
      </c>
      <c r="E82" s="55" t="s">
        <v>5097</v>
      </c>
      <c r="F82" s="55" t="s">
        <v>4915</v>
      </c>
      <c r="G82" s="55" t="s">
        <v>5098</v>
      </c>
    </row>
    <row r="83" customFormat="false" ht="11.25" hidden="false" customHeight="true" outlineLevel="0" collapsed="false">
      <c r="A83" s="55" t="s">
        <v>16</v>
      </c>
      <c r="B83" s="55" t="s">
        <v>5099</v>
      </c>
      <c r="C83" s="55" t="s">
        <v>5100</v>
      </c>
      <c r="D83" s="55" t="s">
        <v>5099</v>
      </c>
      <c r="E83" s="55" t="s">
        <v>5100</v>
      </c>
      <c r="F83" s="55" t="s">
        <v>4915</v>
      </c>
      <c r="G83" s="55" t="s">
        <v>5101</v>
      </c>
    </row>
    <row r="84" customFormat="false" ht="11.25" hidden="false" customHeight="true" outlineLevel="0" collapsed="false">
      <c r="A84" s="55" t="s">
        <v>16</v>
      </c>
      <c r="B84" s="55" t="s">
        <v>5102</v>
      </c>
      <c r="C84" s="55" t="s">
        <v>5103</v>
      </c>
      <c r="D84" s="55" t="s">
        <v>5102</v>
      </c>
      <c r="E84" s="55" t="s">
        <v>5103</v>
      </c>
      <c r="F84" s="55" t="s">
        <v>4915</v>
      </c>
      <c r="G84" s="55" t="s">
        <v>5104</v>
      </c>
    </row>
    <row r="85" customFormat="false" ht="11.25" hidden="false" customHeight="true" outlineLevel="0" collapsed="false">
      <c r="A85" s="55" t="s">
        <v>16</v>
      </c>
      <c r="B85" s="55" t="s">
        <v>5105</v>
      </c>
      <c r="C85" s="55" t="s">
        <v>5106</v>
      </c>
      <c r="D85" s="55" t="s">
        <v>5105</v>
      </c>
      <c r="E85" s="55" t="s">
        <v>5106</v>
      </c>
      <c r="F85" s="55" t="s">
        <v>4915</v>
      </c>
      <c r="G85" s="55" t="s">
        <v>5107</v>
      </c>
    </row>
    <row r="86" customFormat="false" ht="11.25" hidden="false" customHeight="true" outlineLevel="0" collapsed="false">
      <c r="A86" s="55" t="s">
        <v>16</v>
      </c>
      <c r="B86" s="55" t="s">
        <v>5108</v>
      </c>
      <c r="C86" s="55" t="s">
        <v>5109</v>
      </c>
      <c r="D86" s="55" t="s">
        <v>5108</v>
      </c>
      <c r="E86" s="55" t="s">
        <v>5109</v>
      </c>
      <c r="F86" s="55" t="s">
        <v>4915</v>
      </c>
      <c r="G86" s="55" t="s">
        <v>5110</v>
      </c>
    </row>
    <row r="87" customFormat="false" ht="11.25" hidden="false" customHeight="true" outlineLevel="0" collapsed="false">
      <c r="A87" s="55" t="s">
        <v>16</v>
      </c>
      <c r="B87" s="55" t="s">
        <v>5111</v>
      </c>
      <c r="C87" s="55" t="s">
        <v>5112</v>
      </c>
      <c r="D87" s="55" t="s">
        <v>5113</v>
      </c>
      <c r="E87" s="55" t="s">
        <v>5114</v>
      </c>
      <c r="F87" s="55" t="s">
        <v>4928</v>
      </c>
      <c r="G87" s="55" t="s">
        <v>5115</v>
      </c>
    </row>
    <row r="88" customFormat="false" ht="11.25" hidden="false" customHeight="true" outlineLevel="0" collapsed="false">
      <c r="A88" s="55" t="s">
        <v>16</v>
      </c>
      <c r="B88" s="55" t="s">
        <v>5111</v>
      </c>
      <c r="C88" s="55" t="s">
        <v>5112</v>
      </c>
      <c r="D88" s="55" t="s">
        <v>5116</v>
      </c>
      <c r="E88" s="55" t="s">
        <v>5117</v>
      </c>
      <c r="F88" s="55" t="s">
        <v>4928</v>
      </c>
      <c r="G88" s="55" t="s">
        <v>5118</v>
      </c>
    </row>
    <row r="89" customFormat="false" ht="11.25" hidden="false" customHeight="true" outlineLevel="0" collapsed="false">
      <c r="A89" s="55" t="s">
        <v>16</v>
      </c>
      <c r="B89" s="55" t="s">
        <v>5111</v>
      </c>
      <c r="C89" s="55" t="s">
        <v>5112</v>
      </c>
      <c r="D89" s="55" t="s">
        <v>5119</v>
      </c>
      <c r="E89" s="55" t="s">
        <v>5120</v>
      </c>
      <c r="F89" s="55" t="s">
        <v>4928</v>
      </c>
      <c r="G89" s="55" t="s">
        <v>5121</v>
      </c>
    </row>
    <row r="90" customFormat="false" ht="11.25" hidden="false" customHeight="true" outlineLevel="0" collapsed="false">
      <c r="A90" s="55" t="s">
        <v>16</v>
      </c>
      <c r="B90" s="55" t="s">
        <v>5111</v>
      </c>
      <c r="C90" s="55" t="s">
        <v>5112</v>
      </c>
      <c r="D90" s="55" t="s">
        <v>5122</v>
      </c>
      <c r="E90" s="55" t="s">
        <v>5123</v>
      </c>
      <c r="F90" s="55" t="s">
        <v>4928</v>
      </c>
      <c r="G90" s="55" t="s">
        <v>5124</v>
      </c>
    </row>
    <row r="91" customFormat="false" ht="11.25" hidden="false" customHeight="true" outlineLevel="0" collapsed="false">
      <c r="A91" s="55" t="s">
        <v>16</v>
      </c>
      <c r="B91" s="55" t="s">
        <v>5111</v>
      </c>
      <c r="C91" s="55" t="s">
        <v>5112</v>
      </c>
      <c r="D91" s="55" t="s">
        <v>5125</v>
      </c>
      <c r="E91" s="55" t="s">
        <v>5126</v>
      </c>
      <c r="F91" s="55" t="s">
        <v>4928</v>
      </c>
      <c r="G91" s="55" t="s">
        <v>5127</v>
      </c>
    </row>
    <row r="92" customFormat="false" ht="11.25" hidden="false" customHeight="true" outlineLevel="0" collapsed="false">
      <c r="A92" s="55" t="s">
        <v>16</v>
      </c>
      <c r="B92" s="55" t="s">
        <v>5111</v>
      </c>
      <c r="C92" s="55" t="s">
        <v>5112</v>
      </c>
      <c r="D92" s="55" t="s">
        <v>5111</v>
      </c>
      <c r="E92" s="55" t="s">
        <v>5112</v>
      </c>
      <c r="F92" s="55" t="s">
        <v>4929</v>
      </c>
      <c r="G92" s="55" t="s">
        <v>5128</v>
      </c>
    </row>
    <row r="93" customFormat="false" ht="11.25" hidden="false" customHeight="true" outlineLevel="0" collapsed="false">
      <c r="A93" s="55" t="s">
        <v>16</v>
      </c>
      <c r="B93" s="55" t="s">
        <v>5129</v>
      </c>
      <c r="C93" s="55" t="s">
        <v>5130</v>
      </c>
      <c r="D93" s="55" t="s">
        <v>5129</v>
      </c>
      <c r="E93" s="55" t="s">
        <v>5130</v>
      </c>
      <c r="F93" s="55" t="s">
        <v>4915</v>
      </c>
      <c r="G93" s="55" t="s">
        <v>5131</v>
      </c>
    </row>
    <row r="94" customFormat="false" ht="11.25" hidden="false" customHeight="true" outlineLevel="0" collapsed="false">
      <c r="A94" s="55" t="s">
        <v>16</v>
      </c>
      <c r="B94" s="55" t="s">
        <v>5132</v>
      </c>
      <c r="C94" s="55" t="s">
        <v>5133</v>
      </c>
      <c r="D94" s="55" t="s">
        <v>5132</v>
      </c>
      <c r="E94" s="55" t="s">
        <v>5133</v>
      </c>
      <c r="F94" s="55" t="s">
        <v>4915</v>
      </c>
      <c r="G94" s="55" t="s">
        <v>5134</v>
      </c>
    </row>
    <row r="95" customFormat="false" ht="11.25" hidden="false" customHeight="true" outlineLevel="0" collapsed="false">
      <c r="A95" s="55" t="s">
        <v>16</v>
      </c>
      <c r="B95" s="55" t="s">
        <v>5135</v>
      </c>
      <c r="C95" s="55" t="s">
        <v>5136</v>
      </c>
      <c r="D95" s="55" t="s">
        <v>5135</v>
      </c>
      <c r="E95" s="55" t="s">
        <v>5136</v>
      </c>
      <c r="F95" s="55" t="s">
        <v>4915</v>
      </c>
      <c r="G95" s="55" t="s">
        <v>5137</v>
      </c>
    </row>
    <row r="96" customFormat="false" ht="11.25" hidden="false" customHeight="true" outlineLevel="0" collapsed="false">
      <c r="A96" s="55" t="s">
        <v>16</v>
      </c>
      <c r="B96" s="55" t="s">
        <v>5138</v>
      </c>
      <c r="C96" s="55" t="s">
        <v>5139</v>
      </c>
      <c r="D96" s="55" t="s">
        <v>5138</v>
      </c>
      <c r="E96" s="55" t="s">
        <v>5139</v>
      </c>
      <c r="F96" s="55" t="s">
        <v>4915</v>
      </c>
      <c r="G96" s="55" t="s">
        <v>5140</v>
      </c>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I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690" width="13.86"/>
    <col collapsed="false" customWidth="true" hidden="false" outlineLevel="0" max="2" min="2" style="690" width="10.43"/>
    <col collapsed="false" customWidth="true" hidden="false" outlineLevel="0" max="3" min="3" style="690" width="7.57"/>
    <col collapsed="false" customWidth="true" hidden="false" outlineLevel="0" max="4" min="4" style="690" width="13.86"/>
    <col collapsed="false" customWidth="true" hidden="false" outlineLevel="0" max="5" min="5" style="690" width="11.57"/>
    <col collapsed="false" customWidth="true" hidden="false" outlineLevel="0" max="6" min="6" style="690" width="16.28"/>
    <col collapsed="false" customWidth="true" hidden="false" outlineLevel="0" max="7" min="7" style="690" width="16"/>
    <col collapsed="false" customWidth="true" hidden="false" outlineLevel="0" max="9" min="8" style="690" width="16.14"/>
  </cols>
  <sheetData>
    <row r="1" customFormat="false" ht="11.25" hidden="false" customHeight="true" outlineLevel="0" collapsed="false">
      <c r="A1" s="690" t="s">
        <v>5141</v>
      </c>
      <c r="B1" s="690" t="s">
        <v>5142</v>
      </c>
      <c r="C1" s="690" t="s">
        <v>5143</v>
      </c>
      <c r="D1" s="690" t="s">
        <v>5144</v>
      </c>
      <c r="E1" s="690" t="s">
        <v>5145</v>
      </c>
      <c r="F1" s="690" t="s">
        <v>5146</v>
      </c>
      <c r="G1" s="690" t="s">
        <v>5147</v>
      </c>
      <c r="H1" s="690" t="s">
        <v>5148</v>
      </c>
      <c r="I1" s="690" t="s">
        <v>5149</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AT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21" width="3"/>
    <col collapsed="false" customWidth="true" hidden="false" outlineLevel="0" max="4" min="4" style="42" width="5"/>
    <col collapsed="false" customWidth="true" hidden="false" outlineLevel="0" max="5" min="5" style="42" width="48"/>
    <col collapsed="false" customWidth="true" hidden="false" outlineLevel="0" max="6" min="6" style="42" width="38"/>
    <col collapsed="false" customWidth="true" hidden="true" outlineLevel="0" max="7" min="7" style="42" width="1.71"/>
    <col collapsed="false" customWidth="true" hidden="true" outlineLevel="0" max="11" min="8" style="42" width="19.86"/>
    <col collapsed="false" customWidth="true" hidden="true" outlineLevel="0" max="12" min="12" style="42" width="9.71"/>
    <col collapsed="false" customWidth="true" hidden="true" outlineLevel="0" max="18" min="13" style="42" width="19.86"/>
    <col collapsed="false" customWidth="true" hidden="true" outlineLevel="0" max="19" min="19" style="42" width="1.71"/>
    <col collapsed="false" customWidth="true" hidden="false" outlineLevel="0" max="22" min="20" style="42" width="19.86"/>
    <col collapsed="false" customWidth="true" hidden="true" outlineLevel="0" max="23" min="23" style="42" width="1.71"/>
    <col collapsed="false" customWidth="true" hidden="true" outlineLevel="0" max="26" min="24" style="42" width="19.86"/>
    <col collapsed="false" customWidth="true" hidden="true" outlineLevel="0" max="27" min="27" style="42" width="1.71"/>
    <col collapsed="false" customWidth="true" hidden="true" outlineLevel="0" max="29" min="28" style="42" width="19.86"/>
    <col collapsed="false" customWidth="true" hidden="true" outlineLevel="0" max="30" min="30" style="42" width="1.71"/>
    <col collapsed="false" customWidth="true" hidden="true" outlineLevel="0" max="31" min="31" style="42" width="103.71"/>
    <col collapsed="false" customWidth="true" hidden="false" outlineLevel="0" max="32" min="32" style="42" width="103.71"/>
    <col collapsed="false" customWidth="true" hidden="true" outlineLevel="0" max="34" min="33" style="42" width="103.71"/>
    <col collapsed="false" customWidth="true" hidden="false" outlineLevel="0" max="35" min="35" style="133" width="3"/>
    <col collapsed="false" customWidth="true" hidden="false" outlineLevel="0" max="38" min="36" style="49" width="10"/>
    <col collapsed="false" customWidth="true" hidden="true" outlineLevel="0" max="39" min="39" style="49" width="13.71"/>
    <col collapsed="false" customWidth="true" hidden="false" outlineLevel="0" max="40" min="40" style="49" width="15"/>
    <col collapsed="false" customWidth="true" hidden="false" outlineLevel="0" max="41" min="41" style="49" width="16"/>
    <col collapsed="false" customWidth="true" hidden="false" outlineLevel="0" max="45" min="42" style="49" width="10"/>
    <col collapsed="false" customWidth="false" hidden="true" outlineLevel="0" max="46" min="46" style="42" width="10.57"/>
  </cols>
  <sheetData>
    <row r="1" customFormat="false" ht="22.5" hidden="true" customHeight="true" outlineLevel="0" collapsed="false">
      <c r="E1" s="161"/>
      <c r="F1" s="161"/>
      <c r="G1" s="161"/>
      <c r="H1" s="107" t="s">
        <v>349</v>
      </c>
      <c r="I1" s="107"/>
      <c r="J1" s="107"/>
      <c r="K1" s="107"/>
      <c r="L1" s="107"/>
      <c r="M1" s="107"/>
      <c r="N1" s="107"/>
      <c r="O1" s="107"/>
      <c r="P1" s="107"/>
      <c r="Q1" s="107"/>
      <c r="R1" s="107"/>
      <c r="T1" s="107" t="s">
        <v>350</v>
      </c>
      <c r="U1" s="107"/>
      <c r="V1" s="107"/>
      <c r="X1" s="107" t="s">
        <v>351</v>
      </c>
      <c r="Y1" s="107"/>
      <c r="Z1" s="107"/>
      <c r="AB1" s="107" t="s">
        <v>352</v>
      </c>
      <c r="AC1" s="107"/>
      <c r="AT1" s="42" t="s">
        <v>14</v>
      </c>
    </row>
    <row r="2" customFormat="false" ht="14.25" hidden="true" customHeight="true" outlineLevel="0" collapsed="false">
      <c r="AT2" s="42" t="n">
        <v>0</v>
      </c>
    </row>
    <row r="3" s="62" customFormat="true" ht="5.25" hidden="false" customHeight="true" outlineLevel="0" collapsed="false">
      <c r="C3" s="350"/>
      <c r="D3" s="351"/>
      <c r="E3" s="351"/>
      <c r="F3" s="351"/>
      <c r="G3" s="351"/>
      <c r="H3" s="351" t="s">
        <v>353</v>
      </c>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J3" s="49"/>
      <c r="AK3" s="49"/>
      <c r="AL3" s="49"/>
      <c r="AM3" s="49"/>
      <c r="AN3" s="49"/>
      <c r="AO3" s="49"/>
      <c r="AP3" s="49"/>
      <c r="AQ3" s="49"/>
      <c r="AR3" s="49"/>
      <c r="AS3" s="49"/>
      <c r="AT3" s="62" t="n">
        <v>5</v>
      </c>
    </row>
    <row r="4" customFormat="false" ht="39.75" hidden="false" customHeight="true" outlineLevel="0" collapsed="false">
      <c r="C4" s="328"/>
      <c r="D4" s="215" t="str">
        <f aca="false">ORG_VD_NAME_FORM</f>
        <v>Форма 1. Информация об организации, осуществляющей водоотведение (общая информация)</v>
      </c>
      <c r="E4" s="215"/>
      <c r="F4" s="215"/>
      <c r="G4" s="215"/>
      <c r="H4" s="215"/>
      <c r="I4" s="215"/>
      <c r="J4" s="215"/>
      <c r="K4" s="215"/>
      <c r="L4" s="215"/>
      <c r="M4" s="215"/>
      <c r="N4" s="215"/>
      <c r="O4" s="215"/>
      <c r="P4" s="215"/>
      <c r="Q4" s="215"/>
      <c r="R4" s="215"/>
      <c r="S4" s="352"/>
      <c r="T4" s="255"/>
      <c r="U4" s="255"/>
      <c r="V4" s="255"/>
      <c r="W4" s="255"/>
      <c r="X4" s="255"/>
      <c r="Y4" s="255"/>
      <c r="Z4" s="255"/>
      <c r="AA4" s="255"/>
      <c r="AB4" s="255"/>
      <c r="AC4" s="255"/>
      <c r="AD4" s="255"/>
      <c r="AE4" s="353"/>
      <c r="AF4" s="353"/>
      <c r="AG4" s="353"/>
      <c r="AH4" s="353"/>
      <c r="AI4" s="216"/>
      <c r="AT4" s="42" t="n">
        <v>38</v>
      </c>
    </row>
    <row r="5" s="42" customFormat="true" ht="18" hidden="false" customHeight="true" outlineLevel="0" collapsed="false">
      <c r="A5" s="48"/>
      <c r="C5" s="328"/>
      <c r="D5" s="259" t="str">
        <f aca="false">IF(org=0,"Не определено",org)</f>
        <v>Филиал ПАО "ОГК-2" - Серовская ГРЭС, г. Серов</v>
      </c>
      <c r="E5" s="259"/>
      <c r="F5" s="259"/>
      <c r="G5" s="259"/>
      <c r="H5" s="259"/>
      <c r="I5" s="259"/>
      <c r="J5" s="259"/>
      <c r="K5" s="259"/>
      <c r="L5" s="259"/>
      <c r="M5" s="259"/>
      <c r="N5" s="259"/>
      <c r="O5" s="259"/>
      <c r="P5" s="259"/>
      <c r="Q5" s="259"/>
      <c r="R5" s="259"/>
      <c r="S5" s="352"/>
      <c r="T5" s="255"/>
      <c r="U5" s="255"/>
      <c r="V5" s="255"/>
      <c r="W5" s="255"/>
      <c r="X5" s="255"/>
      <c r="Y5" s="255"/>
      <c r="Z5" s="255"/>
      <c r="AA5" s="255"/>
      <c r="AB5" s="255"/>
      <c r="AC5" s="255"/>
      <c r="AD5" s="255"/>
      <c r="AE5" s="353"/>
      <c r="AF5" s="353"/>
      <c r="AG5" s="353"/>
      <c r="AH5" s="353"/>
      <c r="AI5" s="216"/>
      <c r="AJ5" s="49"/>
      <c r="AK5" s="49"/>
      <c r="AL5" s="49"/>
      <c r="AM5" s="49"/>
      <c r="AN5" s="49"/>
      <c r="AO5" s="49"/>
      <c r="AP5" s="49"/>
      <c r="AQ5" s="49"/>
      <c r="AR5" s="49"/>
      <c r="AS5" s="49"/>
      <c r="AT5" s="42" t="n">
        <v>17</v>
      </c>
    </row>
    <row r="6" s="60" customFormat="true" ht="11.25" hidden="false" customHeight="true" outlineLevel="0" collapsed="false">
      <c r="A6" s="354"/>
      <c r="C6" s="355"/>
      <c r="D6" s="356"/>
      <c r="E6" s="356"/>
      <c r="F6" s="356"/>
      <c r="G6" s="356"/>
      <c r="H6" s="356"/>
      <c r="I6" s="356"/>
      <c r="J6" s="356"/>
      <c r="K6" s="356"/>
      <c r="L6" s="356"/>
      <c r="M6" s="356"/>
      <c r="N6" s="356"/>
      <c r="O6" s="356"/>
      <c r="P6" s="356"/>
      <c r="Q6" s="356"/>
      <c r="R6" s="290"/>
      <c r="S6" s="290"/>
      <c r="T6" s="356"/>
      <c r="U6" s="356"/>
      <c r="V6" s="357"/>
      <c r="W6" s="357"/>
      <c r="X6" s="356"/>
      <c r="Y6" s="356"/>
      <c r="Z6" s="357"/>
      <c r="AA6" s="357"/>
      <c r="AB6" s="356"/>
      <c r="AC6" s="357"/>
      <c r="AD6" s="357"/>
      <c r="AE6" s="356"/>
      <c r="AF6" s="356"/>
      <c r="AG6" s="356"/>
      <c r="AH6" s="356"/>
      <c r="AJ6" s="49"/>
      <c r="AK6" s="49"/>
      <c r="AL6" s="49"/>
      <c r="AM6" s="49"/>
      <c r="AN6" s="49"/>
      <c r="AO6" s="49"/>
      <c r="AP6" s="49"/>
      <c r="AQ6" s="49"/>
      <c r="AR6" s="49"/>
      <c r="AS6" s="49"/>
      <c r="AT6" s="60" t="n">
        <v>11</v>
      </c>
    </row>
    <row r="7" customFormat="false" ht="14.25" hidden="false" customHeight="true" outlineLevel="0" collapsed="false">
      <c r="C7" s="328"/>
      <c r="D7" s="220" t="s">
        <v>297</v>
      </c>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t="s">
        <v>298</v>
      </c>
      <c r="AF7" s="220" t="s">
        <v>298</v>
      </c>
      <c r="AG7" s="220" t="s">
        <v>298</v>
      </c>
      <c r="AH7" s="220" t="s">
        <v>298</v>
      </c>
      <c r="AT7" s="42" t="n">
        <v>14</v>
      </c>
    </row>
    <row r="8" customFormat="false" ht="27" hidden="false" customHeight="true" outlineLevel="0" collapsed="false">
      <c r="C8" s="328"/>
      <c r="D8" s="138" t="s">
        <v>86</v>
      </c>
      <c r="E8" s="358" t="str">
        <f aca="false">"Наименование "&amp;IF(TEMPLATE_SPHERE&lt;&gt;"HEAT","централизованной ","")&amp;"системы "&amp;TEMPLATE_SPHERE_RUS</f>
        <v>Наименование централизованной системы водоотведения</v>
      </c>
      <c r="F8" s="358" t="str">
        <f aca="false">IF(TEMPLATE_SPHERE&lt;&gt;"HEAT","Регулируемый вид деятельности","Вид регулируемой деятельности")</f>
        <v>Регулируемый вид деятельности</v>
      </c>
      <c r="G8" s="359"/>
      <c r="H8" s="358" t="s">
        <v>354</v>
      </c>
      <c r="I8" s="360" t="s">
        <v>355</v>
      </c>
      <c r="J8" s="360" t="s">
        <v>356</v>
      </c>
      <c r="K8" s="360"/>
      <c r="L8" s="360"/>
      <c r="M8" s="360"/>
      <c r="N8" s="220" t="s">
        <v>357</v>
      </c>
      <c r="O8" s="220"/>
      <c r="P8" s="220" t="s">
        <v>358</v>
      </c>
      <c r="Q8" s="220"/>
      <c r="R8" s="361" t="s">
        <v>359</v>
      </c>
      <c r="S8" s="362"/>
      <c r="T8" s="358" t="s">
        <v>360</v>
      </c>
      <c r="U8" s="358" t="s">
        <v>361</v>
      </c>
      <c r="V8" s="358" t="s">
        <v>362</v>
      </c>
      <c r="W8" s="359"/>
      <c r="X8" s="358" t="s">
        <v>363</v>
      </c>
      <c r="Y8" s="358" t="s">
        <v>364</v>
      </c>
      <c r="Z8" s="358" t="s">
        <v>365</v>
      </c>
      <c r="AA8" s="359"/>
      <c r="AB8" s="358" t="s">
        <v>366</v>
      </c>
      <c r="AC8" s="358" t="s">
        <v>359</v>
      </c>
      <c r="AD8" s="359"/>
      <c r="AE8" s="220"/>
      <c r="AF8" s="220"/>
      <c r="AG8" s="220"/>
      <c r="AH8" s="220"/>
      <c r="AT8" s="42" t="n">
        <v>26</v>
      </c>
    </row>
    <row r="9" customFormat="false" ht="45.75" hidden="false" customHeight="true" outlineLevel="0" collapsed="false">
      <c r="C9" s="328"/>
      <c r="D9" s="138"/>
      <c r="E9" s="358"/>
      <c r="F9" s="358"/>
      <c r="G9" s="363"/>
      <c r="H9" s="358"/>
      <c r="I9" s="360"/>
      <c r="J9" s="220" t="s">
        <v>367</v>
      </c>
      <c r="K9" s="220" t="s">
        <v>368</v>
      </c>
      <c r="L9" s="220" t="s">
        <v>369</v>
      </c>
      <c r="M9" s="360" t="s">
        <v>370</v>
      </c>
      <c r="N9" s="220" t="s">
        <v>371</v>
      </c>
      <c r="O9" s="220" t="s">
        <v>370</v>
      </c>
      <c r="P9" s="220" t="s">
        <v>372</v>
      </c>
      <c r="Q9" s="220" t="s">
        <v>370</v>
      </c>
      <c r="R9" s="361"/>
      <c r="S9" s="364"/>
      <c r="T9" s="358"/>
      <c r="U9" s="358"/>
      <c r="V9" s="358"/>
      <c r="W9" s="363"/>
      <c r="X9" s="358"/>
      <c r="Y9" s="358"/>
      <c r="Z9" s="358"/>
      <c r="AA9" s="363"/>
      <c r="AB9" s="358"/>
      <c r="AC9" s="358"/>
      <c r="AD9" s="363"/>
      <c r="AE9" s="220"/>
      <c r="AF9" s="220"/>
      <c r="AG9" s="220"/>
      <c r="AH9" s="220"/>
      <c r="AT9" s="42" t="n">
        <v>44</v>
      </c>
    </row>
    <row r="10" customFormat="false" ht="12" hidden="true" customHeight="true" outlineLevel="0" collapsed="false">
      <c r="C10" s="365"/>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366"/>
      <c r="AI10" s="42"/>
      <c r="AP10" s="122"/>
      <c r="AQ10" s="122"/>
      <c r="AT10" s="42" t="n">
        <v>0</v>
      </c>
    </row>
    <row r="11" s="124" customFormat="true" ht="11.25" hidden="true" customHeight="true" outlineLevel="0" collapsed="false">
      <c r="C11" s="367"/>
      <c r="D11" s="368" t="s">
        <v>373</v>
      </c>
      <c r="E11" s="368"/>
      <c r="F11" s="368"/>
      <c r="G11" s="368"/>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70"/>
      <c r="AF11" s="370"/>
      <c r="AG11" s="370"/>
      <c r="AH11" s="370"/>
      <c r="AJ11" s="49"/>
      <c r="AK11" s="49"/>
      <c r="AL11" s="49"/>
      <c r="AM11" s="49"/>
      <c r="AN11" s="49"/>
      <c r="AO11" s="49"/>
      <c r="AP11" s="49"/>
      <c r="AQ11" s="49"/>
      <c r="AR11" s="49"/>
      <c r="AS11" s="49"/>
      <c r="AT11" s="124" t="n">
        <v>0</v>
      </c>
    </row>
    <row r="12" customFormat="false" ht="14.25" hidden="false" customHeight="true" outlineLevel="0" collapsed="false">
      <c r="A12" s="42"/>
      <c r="C12" s="328"/>
      <c r="D12" s="371" t="s">
        <v>107</v>
      </c>
      <c r="E12" s="324"/>
      <c r="F12" s="372"/>
      <c r="G12" s="373"/>
      <c r="H12" s="374"/>
      <c r="I12" s="374"/>
      <c r="J12" s="375"/>
      <c r="K12" s="376"/>
      <c r="L12" s="377"/>
      <c r="M12" s="376"/>
      <c r="N12" s="375"/>
      <c r="O12" s="376"/>
      <c r="P12" s="375"/>
      <c r="Q12" s="376"/>
      <c r="R12" s="375"/>
      <c r="S12" s="378"/>
      <c r="T12" s="374"/>
      <c r="U12" s="375"/>
      <c r="V12" s="375"/>
      <c r="W12" s="363"/>
      <c r="X12" s="374"/>
      <c r="Y12" s="375"/>
      <c r="Z12" s="375"/>
      <c r="AA12" s="363"/>
      <c r="AB12" s="374"/>
      <c r="AC12" s="375"/>
      <c r="AD12" s="363"/>
      <c r="AE12" s="379" t="s">
        <v>374</v>
      </c>
      <c r="AF12" s="379" t="s">
        <v>375</v>
      </c>
      <c r="AG12" s="379" t="s">
        <v>376</v>
      </c>
      <c r="AH12" s="379" t="s">
        <v>377</v>
      </c>
      <c r="AI12" s="42"/>
      <c r="AP12" s="122" t="s">
        <v>378</v>
      </c>
      <c r="AQ12" s="122" t="s">
        <v>378</v>
      </c>
      <c r="AT12" s="42" t="n">
        <v>14</v>
      </c>
    </row>
    <row r="13" customFormat="false" ht="18" hidden="false" customHeight="true" outlineLevel="0" collapsed="false">
      <c r="A13" s="42"/>
      <c r="C13" s="328"/>
      <c r="D13" s="380"/>
      <c r="E13" s="381" t="str">
        <f aca="false">IF(TITLE_DIFFERENTIATION_TYPE="нет","","Добавить систему")</f>
        <v/>
      </c>
      <c r="F13" s="381" t="str">
        <f aca="false">IF(TITLE_DIFFERENTIATION_TYPE="нет","Добавить вид деятельности","")</f>
        <v>Добавить вид деятельности</v>
      </c>
      <c r="G13" s="382"/>
      <c r="H13" s="383"/>
      <c r="I13" s="383"/>
      <c r="J13" s="383"/>
      <c r="K13" s="383"/>
      <c r="L13" s="383"/>
      <c r="M13" s="383"/>
      <c r="N13" s="383"/>
      <c r="O13" s="383"/>
      <c r="P13" s="383"/>
      <c r="Q13" s="383"/>
      <c r="R13" s="383"/>
      <c r="S13" s="383"/>
      <c r="T13" s="383"/>
      <c r="U13" s="383"/>
      <c r="V13" s="383"/>
      <c r="W13" s="383"/>
      <c r="X13" s="383"/>
      <c r="Y13" s="383"/>
      <c r="Z13" s="383"/>
      <c r="AA13" s="383"/>
      <c r="AB13" s="383"/>
      <c r="AC13" s="383"/>
      <c r="AD13" s="384"/>
      <c r="AE13" s="379"/>
      <c r="AF13" s="379"/>
      <c r="AG13" s="379"/>
      <c r="AH13" s="379"/>
      <c r="AI13" s="42"/>
      <c r="AT13" s="42" t="n">
        <v>17</v>
      </c>
    </row>
    <row r="14" customFormat="false" ht="14.25" hidden="false" customHeight="true" outlineLevel="0" collapsed="false">
      <c r="AI14" s="42"/>
      <c r="AT14" s="42" t="n">
        <v>14</v>
      </c>
    </row>
    <row r="15" customFormat="false" ht="14.25" hidden="false" customHeight="true" outlineLevel="0" collapsed="false">
      <c r="AT15" s="42" t="n">
        <v>14</v>
      </c>
    </row>
    <row r="16" customFormat="false" ht="14.25" hidden="false" customHeight="true" outlineLevel="0" collapsed="false">
      <c r="AT16" s="42" t="n">
        <v>14</v>
      </c>
    </row>
    <row r="17" customFormat="false" ht="14.25" hidden="false" customHeight="true" outlineLevel="0" collapsed="false">
      <c r="AT17" s="42" t="n">
        <v>14</v>
      </c>
    </row>
    <row r="18" customFormat="false" ht="22.5" hidden="true" customHeight="true" outlineLevel="0" collapsed="false">
      <c r="A18" s="48" t="s">
        <v>80</v>
      </c>
      <c r="B18" s="42" t="n">
        <v>0</v>
      </c>
      <c r="C18" s="121" t="n">
        <v>3</v>
      </c>
      <c r="D18" s="42" t="n">
        <v>5</v>
      </c>
      <c r="E18" s="42" t="n">
        <v>48</v>
      </c>
      <c r="F18" s="42" t="n">
        <v>38</v>
      </c>
      <c r="G18" s="42" t="n">
        <v>0</v>
      </c>
      <c r="H18" s="42" t="n">
        <v>0</v>
      </c>
      <c r="I18" s="42" t="n">
        <v>0</v>
      </c>
      <c r="J18" s="42" t="n">
        <v>0</v>
      </c>
      <c r="K18" s="42" t="n">
        <v>0</v>
      </c>
      <c r="L18" s="42" t="n">
        <v>0</v>
      </c>
      <c r="M18" s="42" t="n">
        <v>0</v>
      </c>
      <c r="N18" s="42" t="n">
        <v>0</v>
      </c>
      <c r="O18" s="42" t="n">
        <v>0</v>
      </c>
      <c r="P18" s="42" t="n">
        <v>0</v>
      </c>
      <c r="Q18" s="42" t="n">
        <v>0</v>
      </c>
      <c r="R18" s="42" t="n">
        <v>0</v>
      </c>
      <c r="S18" s="42" t="n">
        <v>0</v>
      </c>
      <c r="T18" s="42" t="n">
        <v>0</v>
      </c>
      <c r="U18" s="42" t="n">
        <v>0</v>
      </c>
      <c r="V18" s="42" t="n">
        <v>0</v>
      </c>
      <c r="W18" s="42" t="n">
        <v>0</v>
      </c>
      <c r="X18" s="42" t="n">
        <v>0</v>
      </c>
      <c r="Y18" s="42" t="n">
        <v>0</v>
      </c>
      <c r="Z18" s="42" t="n">
        <v>0</v>
      </c>
      <c r="AA18" s="42" t="n">
        <v>0</v>
      </c>
      <c r="AB18" s="42" t="n">
        <v>0</v>
      </c>
      <c r="AC18" s="42" t="n">
        <v>0</v>
      </c>
      <c r="AD18" s="42" t="n">
        <v>0</v>
      </c>
      <c r="AE18" s="42" t="n">
        <v>0</v>
      </c>
      <c r="AF18" s="42" t="n">
        <v>0</v>
      </c>
      <c r="AG18" s="42" t="n">
        <v>0</v>
      </c>
      <c r="AH18" s="42" t="n">
        <v>0</v>
      </c>
      <c r="AI18" s="133" t="n">
        <v>3</v>
      </c>
      <c r="AJ18" s="49" t="n">
        <v>10</v>
      </c>
      <c r="AK18" s="49" t="n">
        <v>10</v>
      </c>
      <c r="AL18" s="49" t="n">
        <v>10</v>
      </c>
      <c r="AM18" s="49" t="n">
        <v>0</v>
      </c>
      <c r="AN18" s="49" t="n">
        <v>15</v>
      </c>
      <c r="AO18" s="49" t="n">
        <v>16</v>
      </c>
      <c r="AP18" s="49" t="n">
        <v>10</v>
      </c>
      <c r="AQ18" s="49" t="n">
        <v>10</v>
      </c>
      <c r="AR18" s="49" t="n">
        <v>10</v>
      </c>
      <c r="AS18" s="49" t="n">
        <v>10</v>
      </c>
      <c r="AT18" s="42" t="n">
        <v>23</v>
      </c>
    </row>
  </sheetData>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6">
    <dataValidation allowBlank="true" error="Допускается ввод не более 900 символов!" errorStyle="stop" errorTitle="Ошибка" operator="lessThanOrEqual" showDropDown="false" showErrorMessage="true" showInputMessage="true" sqref="E12"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E11:G11"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1:AD11 H12:I12 K12 M12 O12 Q12 T12 X12 AB12"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12"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12 N12 P12 R12:S12 U12:V12 Y12:Z12 AC12" type="whole">
      <formula1>0</formula1>
      <formula2>9.99999999999999E+023</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12" type="list">
      <formula1>kind_of_power_te_unit</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2" min="1" style="1273" width="9.15"/>
  </cols>
  <sheetData>
    <row r="1" customFormat="false" ht="11.25" hidden="false" customHeight="true" outlineLevel="0" collapsed="false">
      <c r="A1" s="1273" t="s">
        <v>129</v>
      </c>
      <c r="B1" s="1273" t="s">
        <v>5150</v>
      </c>
    </row>
    <row r="2" customFormat="false" ht="11.25" hidden="false" customHeight="true" outlineLevel="0" collapsed="false">
      <c r="A2" s="1273" t="s">
        <v>96</v>
      </c>
      <c r="B2" s="1273" t="s">
        <v>1114</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90" width="9.15"/>
    <col collapsed="false" customWidth="true" hidden="false" outlineLevel="0" max="2" min="2" style="690" width="65.28"/>
  </cols>
  <sheetData>
    <row r="1" customFormat="false" ht="11.25" hidden="false" customHeight="true" outlineLevel="0" collapsed="false">
      <c r="A1" s="690" t="s">
        <v>5151</v>
      </c>
      <c r="B1" s="690" t="s">
        <v>5152</v>
      </c>
    </row>
    <row r="2" customFormat="false" ht="11.25" hidden="false" customHeight="true" outlineLevel="0" collapsed="false">
      <c r="A2" s="690" t="n">
        <v>4213775</v>
      </c>
      <c r="B2" s="690" t="s">
        <v>1217</v>
      </c>
    </row>
    <row r="3" customFormat="false" ht="11.25" hidden="false" customHeight="true" outlineLevel="0" collapsed="false">
      <c r="A3" s="690" t="n">
        <v>4213784</v>
      </c>
      <c r="B3" s="690" t="s">
        <v>1251</v>
      </c>
    </row>
    <row r="4" customFormat="false" ht="11.25" hidden="false" customHeight="true" outlineLevel="0" collapsed="false">
      <c r="A4" s="690" t="n">
        <v>4213781</v>
      </c>
      <c r="B4" s="690" t="s">
        <v>1244</v>
      </c>
    </row>
    <row r="5" customFormat="false" ht="11.25" hidden="false" customHeight="true" outlineLevel="0" collapsed="false">
      <c r="A5" s="690" t="n">
        <v>4213776</v>
      </c>
      <c r="B5" s="690" t="s">
        <v>165</v>
      </c>
    </row>
    <row r="6" customFormat="false" ht="11.25" hidden="false" customHeight="true" outlineLevel="0" collapsed="false">
      <c r="A6" s="690" t="n">
        <v>4213777</v>
      </c>
      <c r="B6" s="690" t="s">
        <v>171</v>
      </c>
    </row>
    <row r="7" customFormat="false" ht="11.25" hidden="false" customHeight="true" outlineLevel="0" collapsed="false">
      <c r="A7" s="690" t="n">
        <v>4213778</v>
      </c>
      <c r="B7" s="690" t="s">
        <v>177</v>
      </c>
    </row>
    <row r="8" customFormat="false" ht="11.25" hidden="false" customHeight="true" outlineLevel="0" collapsed="false">
      <c r="A8" s="690" t="n">
        <v>4213780</v>
      </c>
      <c r="B8" s="690" t="s">
        <v>183</v>
      </c>
    </row>
    <row r="9" customFormat="false" ht="11.25" hidden="false" customHeight="true" outlineLevel="0" collapsed="false">
      <c r="A9" s="690" t="n">
        <v>4213779</v>
      </c>
      <c r="B9" s="690" t="s">
        <v>1385</v>
      </c>
    </row>
    <row r="10" customFormat="false" ht="11.25" hidden="false" customHeight="true" outlineLevel="0" collapsed="false">
      <c r="A10" s="690" t="n">
        <v>4213783</v>
      </c>
      <c r="B10" s="690" t="s">
        <v>1400</v>
      </c>
    </row>
    <row r="11" customFormat="false" ht="11.25" hidden="false" customHeight="true" outlineLevel="0" collapsed="false">
      <c r="A11" s="690" t="n">
        <v>4213782</v>
      </c>
      <c r="B11" s="690" t="s">
        <v>189</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90" width="9.15"/>
    <col collapsed="false" customWidth="true" hidden="false" outlineLevel="0" max="2" min="2" style="690" width="65.28"/>
  </cols>
  <sheetData>
    <row r="1" customFormat="false" ht="11.25" hidden="false" customHeight="true" outlineLevel="0" collapsed="false">
      <c r="A1" s="690" t="s">
        <v>5151</v>
      </c>
      <c r="B1" s="690" t="s">
        <v>5153</v>
      </c>
    </row>
    <row r="2" customFormat="false" ht="11.25" hidden="false" customHeight="true" outlineLevel="0" collapsed="false">
      <c r="A2" s="690" t="s">
        <v>5154</v>
      </c>
      <c r="B2" s="690" t="s">
        <v>1501</v>
      </c>
    </row>
    <row r="3" customFormat="false" ht="11.25" hidden="false" customHeight="true" outlineLevel="0" collapsed="false">
      <c r="A3" s="690" t="s">
        <v>5155</v>
      </c>
      <c r="B3" s="690" t="s">
        <v>1510</v>
      </c>
    </row>
    <row r="4" customFormat="false" ht="11.25" hidden="false" customHeight="true" outlineLevel="0" collapsed="false">
      <c r="A4" s="690" t="s">
        <v>5156</v>
      </c>
      <c r="B4" s="690" t="s">
        <v>1520</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9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t="s">
        <v>4906</v>
      </c>
      <c r="B1" s="55" t="s">
        <v>4907</v>
      </c>
      <c r="C1" s="55" t="s">
        <v>4908</v>
      </c>
      <c r="D1" s="55" t="s">
        <v>4909</v>
      </c>
      <c r="E1" s="55" t="s">
        <v>4910</v>
      </c>
      <c r="F1" s="55" t="s">
        <v>4911</v>
      </c>
      <c r="G1" s="55" t="s">
        <v>4912</v>
      </c>
    </row>
    <row r="2" customFormat="false" ht="11.25" hidden="false" customHeight="true" outlineLevel="0" collapsed="false">
      <c r="A2" s="55" t="s">
        <v>16</v>
      </c>
      <c r="B2" s="55" t="s">
        <v>4913</v>
      </c>
      <c r="C2" s="55" t="s">
        <v>4914</v>
      </c>
      <c r="D2" s="55" t="s">
        <v>4913</v>
      </c>
      <c r="E2" s="55" t="s">
        <v>4914</v>
      </c>
      <c r="F2" s="55" t="s">
        <v>4915</v>
      </c>
      <c r="G2" s="55" t="s">
        <v>107</v>
      </c>
    </row>
    <row r="3" customFormat="false" ht="11.25" hidden="false" customHeight="true" outlineLevel="0" collapsed="false">
      <c r="A3" s="55" t="s">
        <v>16</v>
      </c>
      <c r="B3" s="55" t="s">
        <v>4916</v>
      </c>
      <c r="C3" s="55" t="s">
        <v>4917</v>
      </c>
      <c r="D3" s="55" t="s">
        <v>4916</v>
      </c>
      <c r="E3" s="55" t="s">
        <v>4917</v>
      </c>
      <c r="F3" s="55" t="s">
        <v>4915</v>
      </c>
      <c r="G3" s="55" t="s">
        <v>108</v>
      </c>
    </row>
    <row r="4" customFormat="false" ht="11.25" hidden="false" customHeight="true" outlineLevel="0" collapsed="false">
      <c r="A4" s="55" t="s">
        <v>16</v>
      </c>
      <c r="B4" s="55" t="s">
        <v>4918</v>
      </c>
      <c r="C4" s="55" t="s">
        <v>4919</v>
      </c>
      <c r="D4" s="55" t="s">
        <v>4918</v>
      </c>
      <c r="E4" s="55" t="s">
        <v>4919</v>
      </c>
      <c r="F4" s="55" t="s">
        <v>4915</v>
      </c>
      <c r="G4" s="55" t="s">
        <v>88</v>
      </c>
    </row>
    <row r="5" customFormat="false" ht="11.25" hidden="false" customHeight="true" outlineLevel="0" collapsed="false">
      <c r="A5" s="55" t="s">
        <v>16</v>
      </c>
      <c r="B5" s="55" t="s">
        <v>4920</v>
      </c>
      <c r="C5" s="55" t="s">
        <v>4921</v>
      </c>
      <c r="D5" s="55" t="s">
        <v>4920</v>
      </c>
      <c r="E5" s="55" t="s">
        <v>4921</v>
      </c>
      <c r="F5" s="55" t="s">
        <v>4915</v>
      </c>
      <c r="G5" s="55" t="s">
        <v>89</v>
      </c>
    </row>
    <row r="6" customFormat="false" ht="11.25" hidden="false" customHeight="true" outlineLevel="0" collapsed="false">
      <c r="A6" s="55" t="s">
        <v>16</v>
      </c>
      <c r="B6" s="55" t="s">
        <v>4922</v>
      </c>
      <c r="C6" s="55" t="s">
        <v>4923</v>
      </c>
      <c r="D6" s="55" t="s">
        <v>4922</v>
      </c>
      <c r="E6" s="55" t="s">
        <v>4923</v>
      </c>
      <c r="F6" s="55" t="s">
        <v>4915</v>
      </c>
      <c r="G6" s="55" t="s">
        <v>109</v>
      </c>
    </row>
    <row r="7" customFormat="false" ht="11.25" hidden="false" customHeight="true" outlineLevel="0" collapsed="false">
      <c r="A7" s="55" t="s">
        <v>16</v>
      </c>
      <c r="B7" s="55" t="s">
        <v>4924</v>
      </c>
      <c r="C7" s="55" t="s">
        <v>4925</v>
      </c>
      <c r="D7" s="55" t="s">
        <v>4926</v>
      </c>
      <c r="E7" s="55" t="s">
        <v>4927</v>
      </c>
      <c r="F7" s="55" t="s">
        <v>4928</v>
      </c>
      <c r="G7" s="55" t="s">
        <v>90</v>
      </c>
    </row>
    <row r="8" customFormat="false" ht="11.25" hidden="false" customHeight="true" outlineLevel="0" collapsed="false">
      <c r="A8" s="55" t="s">
        <v>16</v>
      </c>
      <c r="B8" s="55" t="s">
        <v>4924</v>
      </c>
      <c r="C8" s="55" t="s">
        <v>4925</v>
      </c>
      <c r="D8" s="55" t="s">
        <v>4924</v>
      </c>
      <c r="E8" s="55" t="s">
        <v>4925</v>
      </c>
      <c r="F8" s="55" t="s">
        <v>4929</v>
      </c>
      <c r="G8" s="55" t="s">
        <v>91</v>
      </c>
    </row>
    <row r="9" customFormat="false" ht="11.25" hidden="false" customHeight="true" outlineLevel="0" collapsed="false">
      <c r="A9" s="55" t="s">
        <v>16</v>
      </c>
      <c r="B9" s="55" t="s">
        <v>4924</v>
      </c>
      <c r="C9" s="55" t="s">
        <v>4925</v>
      </c>
      <c r="D9" s="55" t="s">
        <v>4930</v>
      </c>
      <c r="E9" s="55" t="s">
        <v>4931</v>
      </c>
      <c r="F9" s="55" t="s">
        <v>4928</v>
      </c>
      <c r="G9" s="55" t="s">
        <v>110</v>
      </c>
    </row>
    <row r="10" customFormat="false" ht="11.25" hidden="false" customHeight="true" outlineLevel="0" collapsed="false">
      <c r="A10" s="55" t="s">
        <v>16</v>
      </c>
      <c r="B10" s="55" t="s">
        <v>4924</v>
      </c>
      <c r="C10" s="55" t="s">
        <v>4925</v>
      </c>
      <c r="D10" s="55" t="s">
        <v>4932</v>
      </c>
      <c r="E10" s="55" t="s">
        <v>4933</v>
      </c>
      <c r="F10" s="55" t="s">
        <v>4928</v>
      </c>
      <c r="G10" s="55" t="s">
        <v>147</v>
      </c>
    </row>
    <row r="11" customFormat="false" ht="11.25" hidden="false" customHeight="true" outlineLevel="0" collapsed="false">
      <c r="A11" s="55" t="s">
        <v>16</v>
      </c>
      <c r="B11" s="55" t="s">
        <v>4934</v>
      </c>
      <c r="C11" s="55" t="s">
        <v>4935</v>
      </c>
      <c r="D11" s="55" t="s">
        <v>4934</v>
      </c>
      <c r="E11" s="55" t="s">
        <v>4935</v>
      </c>
      <c r="F11" s="55" t="s">
        <v>4915</v>
      </c>
      <c r="G11" s="55" t="s">
        <v>148</v>
      </c>
    </row>
    <row r="12" customFormat="false" ht="11.25" hidden="false" customHeight="true" outlineLevel="0" collapsed="false">
      <c r="A12" s="55" t="s">
        <v>16</v>
      </c>
      <c r="B12" s="55" t="s">
        <v>4936</v>
      </c>
      <c r="C12" s="55" t="s">
        <v>4937</v>
      </c>
      <c r="D12" s="55" t="s">
        <v>4936</v>
      </c>
      <c r="E12" s="55" t="s">
        <v>4937</v>
      </c>
      <c r="F12" s="55" t="s">
        <v>4915</v>
      </c>
      <c r="G12" s="55" t="s">
        <v>149</v>
      </c>
    </row>
    <row r="13" customFormat="false" ht="11.25" hidden="false" customHeight="true" outlineLevel="0" collapsed="false">
      <c r="A13" s="55" t="s">
        <v>16</v>
      </c>
      <c r="B13" s="55" t="s">
        <v>4938</v>
      </c>
      <c r="C13" s="55" t="s">
        <v>4939</v>
      </c>
      <c r="D13" s="55" t="s">
        <v>4938</v>
      </c>
      <c r="E13" s="55" t="s">
        <v>4939</v>
      </c>
      <c r="F13" s="55" t="s">
        <v>4915</v>
      </c>
      <c r="G13" s="55" t="s">
        <v>150</v>
      </c>
    </row>
    <row r="14" customFormat="false" ht="11.25" hidden="false" customHeight="true" outlineLevel="0" collapsed="false">
      <c r="A14" s="55" t="s">
        <v>16</v>
      </c>
      <c r="B14" s="55" t="s">
        <v>4940</v>
      </c>
      <c r="C14" s="55" t="s">
        <v>4941</v>
      </c>
      <c r="D14" s="55" t="s">
        <v>4940</v>
      </c>
      <c r="E14" s="55" t="s">
        <v>4941</v>
      </c>
      <c r="F14" s="55" t="s">
        <v>4915</v>
      </c>
      <c r="G14" s="55" t="s">
        <v>151</v>
      </c>
    </row>
    <row r="15" customFormat="false" ht="11.25" hidden="false" customHeight="true" outlineLevel="0" collapsed="false">
      <c r="A15" s="55" t="s">
        <v>16</v>
      </c>
      <c r="B15" s="55" t="s">
        <v>4942</v>
      </c>
      <c r="C15" s="55" t="s">
        <v>4943</v>
      </c>
      <c r="D15" s="55" t="s">
        <v>4942</v>
      </c>
      <c r="E15" s="55" t="s">
        <v>4943</v>
      </c>
      <c r="F15" s="55" t="s">
        <v>4915</v>
      </c>
      <c r="G15" s="55" t="s">
        <v>152</v>
      </c>
    </row>
    <row r="16" customFormat="false" ht="11.25" hidden="false" customHeight="true" outlineLevel="0" collapsed="false">
      <c r="A16" s="55" t="s">
        <v>16</v>
      </c>
      <c r="B16" s="55" t="s">
        <v>4944</v>
      </c>
      <c r="C16" s="55" t="s">
        <v>4945</v>
      </c>
      <c r="D16" s="55" t="s">
        <v>4944</v>
      </c>
      <c r="E16" s="55" t="s">
        <v>4945</v>
      </c>
      <c r="F16" s="55" t="s">
        <v>4915</v>
      </c>
      <c r="G16" s="55" t="s">
        <v>1460</v>
      </c>
    </row>
    <row r="17" customFormat="false" ht="11.25" hidden="false" customHeight="true" outlineLevel="0" collapsed="false">
      <c r="A17" s="55" t="s">
        <v>16</v>
      </c>
      <c r="B17" s="55" t="s">
        <v>4946</v>
      </c>
      <c r="C17" s="55" t="s">
        <v>4947</v>
      </c>
      <c r="D17" s="55" t="s">
        <v>4946</v>
      </c>
      <c r="E17" s="55" t="s">
        <v>4947</v>
      </c>
      <c r="F17" s="55" t="s">
        <v>4915</v>
      </c>
      <c r="G17" s="55" t="s">
        <v>1466</v>
      </c>
    </row>
    <row r="18" customFormat="false" ht="11.25" hidden="false" customHeight="true" outlineLevel="0" collapsed="false">
      <c r="A18" s="55" t="s">
        <v>16</v>
      </c>
      <c r="B18" s="55" t="s">
        <v>4948</v>
      </c>
      <c r="C18" s="55" t="s">
        <v>4949</v>
      </c>
      <c r="D18" s="55" t="s">
        <v>4948</v>
      </c>
      <c r="E18" s="55" t="s">
        <v>4949</v>
      </c>
      <c r="F18" s="55" t="s">
        <v>4915</v>
      </c>
      <c r="G18" s="55" t="s">
        <v>1478</v>
      </c>
    </row>
    <row r="19" customFormat="false" ht="11.25" hidden="false" customHeight="true" outlineLevel="0" collapsed="false">
      <c r="A19" s="55" t="s">
        <v>16</v>
      </c>
      <c r="B19" s="55" t="s">
        <v>4950</v>
      </c>
      <c r="C19" s="55" t="s">
        <v>4951</v>
      </c>
      <c r="D19" s="55" t="s">
        <v>4950</v>
      </c>
      <c r="E19" s="55" t="s">
        <v>4951</v>
      </c>
      <c r="F19" s="55" t="s">
        <v>4915</v>
      </c>
      <c r="G19" s="55" t="s">
        <v>1492</v>
      </c>
    </row>
    <row r="20" customFormat="false" ht="11.25" hidden="false" customHeight="true" outlineLevel="0" collapsed="false">
      <c r="A20" s="55" t="s">
        <v>16</v>
      </c>
      <c r="B20" s="55" t="s">
        <v>4952</v>
      </c>
      <c r="C20" s="55" t="s">
        <v>4953</v>
      </c>
      <c r="D20" s="55" t="s">
        <v>4952</v>
      </c>
      <c r="E20" s="55" t="s">
        <v>4953</v>
      </c>
      <c r="F20" s="55" t="s">
        <v>4915</v>
      </c>
      <c r="G20" s="55" t="s">
        <v>1504</v>
      </c>
    </row>
    <row r="21" customFormat="false" ht="11.25" hidden="false" customHeight="true" outlineLevel="0" collapsed="false">
      <c r="A21" s="55" t="s">
        <v>16</v>
      </c>
      <c r="B21" s="55" t="s">
        <v>4954</v>
      </c>
      <c r="C21" s="55" t="s">
        <v>4955</v>
      </c>
      <c r="D21" s="55" t="s">
        <v>4954</v>
      </c>
      <c r="E21" s="55" t="s">
        <v>4955</v>
      </c>
      <c r="F21" s="55" t="s">
        <v>4915</v>
      </c>
      <c r="G21" s="55" t="s">
        <v>1513</v>
      </c>
    </row>
    <row r="22" customFormat="false" ht="11.25" hidden="false" customHeight="true" outlineLevel="0" collapsed="false">
      <c r="A22" s="55" t="s">
        <v>16</v>
      </c>
      <c r="B22" s="55" t="s">
        <v>4956</v>
      </c>
      <c r="C22" s="55" t="s">
        <v>4957</v>
      </c>
      <c r="D22" s="55" t="s">
        <v>4956</v>
      </c>
      <c r="E22" s="55" t="s">
        <v>4957</v>
      </c>
      <c r="F22" s="55" t="s">
        <v>4915</v>
      </c>
      <c r="G22" s="55" t="s">
        <v>1529</v>
      </c>
    </row>
    <row r="23" customFormat="false" ht="11.25" hidden="false" customHeight="true" outlineLevel="0" collapsed="false">
      <c r="A23" s="55" t="s">
        <v>16</v>
      </c>
      <c r="B23" s="55" t="s">
        <v>4958</v>
      </c>
      <c r="C23" s="55" t="s">
        <v>4959</v>
      </c>
      <c r="D23" s="55" t="s">
        <v>4958</v>
      </c>
      <c r="E23" s="55" t="s">
        <v>4959</v>
      </c>
      <c r="F23" s="55" t="s">
        <v>4915</v>
      </c>
      <c r="G23" s="55" t="s">
        <v>1536</v>
      </c>
    </row>
    <row r="24" customFormat="false" ht="11.25" hidden="false" customHeight="true" outlineLevel="0" collapsed="false">
      <c r="A24" s="55" t="s">
        <v>16</v>
      </c>
      <c r="B24" s="55" t="s">
        <v>4960</v>
      </c>
      <c r="C24" s="55" t="s">
        <v>4961</v>
      </c>
      <c r="D24" s="55" t="s">
        <v>4960</v>
      </c>
      <c r="E24" s="55" t="s">
        <v>4961</v>
      </c>
      <c r="F24" s="55" t="s">
        <v>4915</v>
      </c>
      <c r="G24" s="55" t="s">
        <v>1544</v>
      </c>
    </row>
    <row r="25" customFormat="false" ht="11.25" hidden="false" customHeight="true" outlineLevel="0" collapsed="false">
      <c r="A25" s="55" t="s">
        <v>16</v>
      </c>
      <c r="B25" s="55" t="s">
        <v>4962</v>
      </c>
      <c r="C25" s="55" t="s">
        <v>4963</v>
      </c>
      <c r="D25" s="55" t="s">
        <v>4962</v>
      </c>
      <c r="E25" s="55" t="s">
        <v>4963</v>
      </c>
      <c r="F25" s="55" t="s">
        <v>4915</v>
      </c>
      <c r="G25" s="55" t="s">
        <v>1551</v>
      </c>
    </row>
    <row r="26" customFormat="false" ht="11.25" hidden="false" customHeight="true" outlineLevel="0" collapsed="false">
      <c r="A26" s="55" t="s">
        <v>16</v>
      </c>
      <c r="B26" s="55" t="s">
        <v>4964</v>
      </c>
      <c r="C26" s="55" t="s">
        <v>4965</v>
      </c>
      <c r="D26" s="55" t="s">
        <v>4964</v>
      </c>
      <c r="E26" s="55" t="s">
        <v>4965</v>
      </c>
      <c r="F26" s="55" t="s">
        <v>4915</v>
      </c>
      <c r="G26" s="55" t="s">
        <v>1555</v>
      </c>
    </row>
    <row r="27" customFormat="false" ht="11.25" hidden="false" customHeight="true" outlineLevel="0" collapsed="false">
      <c r="A27" s="55" t="s">
        <v>16</v>
      </c>
      <c r="B27" s="55" t="s">
        <v>4966</v>
      </c>
      <c r="C27" s="55" t="s">
        <v>4967</v>
      </c>
      <c r="D27" s="55" t="s">
        <v>4966</v>
      </c>
      <c r="E27" s="55" t="s">
        <v>4967</v>
      </c>
      <c r="F27" s="55" t="s">
        <v>4915</v>
      </c>
      <c r="G27" s="55" t="s">
        <v>1560</v>
      </c>
    </row>
    <row r="28" customFormat="false" ht="11.25" hidden="false" customHeight="true" outlineLevel="0" collapsed="false">
      <c r="A28" s="55" t="s">
        <v>16</v>
      </c>
      <c r="B28" s="55" t="s">
        <v>4968</v>
      </c>
      <c r="C28" s="55" t="s">
        <v>4969</v>
      </c>
      <c r="D28" s="55" t="s">
        <v>4968</v>
      </c>
      <c r="E28" s="55" t="s">
        <v>4969</v>
      </c>
      <c r="F28" s="55" t="s">
        <v>4915</v>
      </c>
      <c r="G28" s="55" t="s">
        <v>1568</v>
      </c>
    </row>
    <row r="29" customFormat="false" ht="11.25" hidden="false" customHeight="true" outlineLevel="0" collapsed="false">
      <c r="A29" s="55" t="s">
        <v>16</v>
      </c>
      <c r="B29" s="55" t="s">
        <v>4970</v>
      </c>
      <c r="C29" s="55" t="s">
        <v>4971</v>
      </c>
      <c r="D29" s="55" t="s">
        <v>4972</v>
      </c>
      <c r="E29" s="55" t="s">
        <v>4973</v>
      </c>
      <c r="F29" s="55" t="s">
        <v>4974</v>
      </c>
      <c r="G29" s="55" t="s">
        <v>1570</v>
      </c>
    </row>
    <row r="30" customFormat="false" ht="11.25" hidden="false" customHeight="true" outlineLevel="0" collapsed="false">
      <c r="A30" s="55" t="s">
        <v>16</v>
      </c>
      <c r="B30" s="55" t="s">
        <v>4970</v>
      </c>
      <c r="C30" s="55" t="s">
        <v>4971</v>
      </c>
      <c r="D30" s="55" t="s">
        <v>4975</v>
      </c>
      <c r="E30" s="55" t="s">
        <v>4976</v>
      </c>
      <c r="F30" s="55" t="s">
        <v>4928</v>
      </c>
      <c r="G30" s="55" t="s">
        <v>1573</v>
      </c>
    </row>
    <row r="31" customFormat="false" ht="11.25" hidden="false" customHeight="true" outlineLevel="0" collapsed="false">
      <c r="A31" s="55" t="s">
        <v>16</v>
      </c>
      <c r="B31" s="55" t="s">
        <v>4970</v>
      </c>
      <c r="C31" s="55" t="s">
        <v>4971</v>
      </c>
      <c r="D31" s="55" t="s">
        <v>4977</v>
      </c>
      <c r="E31" s="55" t="s">
        <v>4978</v>
      </c>
      <c r="F31" s="55" t="s">
        <v>4979</v>
      </c>
      <c r="G31" s="55" t="s">
        <v>1579</v>
      </c>
    </row>
    <row r="32" customFormat="false" ht="11.25" hidden="false" customHeight="true" outlineLevel="0" collapsed="false">
      <c r="A32" s="55" t="s">
        <v>16</v>
      </c>
      <c r="B32" s="55" t="s">
        <v>4970</v>
      </c>
      <c r="C32" s="55" t="s">
        <v>4971</v>
      </c>
      <c r="D32" s="55" t="s">
        <v>4970</v>
      </c>
      <c r="E32" s="55" t="s">
        <v>4971</v>
      </c>
      <c r="F32" s="55" t="s">
        <v>4929</v>
      </c>
      <c r="G32" s="55" t="s">
        <v>1581</v>
      </c>
    </row>
    <row r="33" customFormat="false" ht="11.25" hidden="false" customHeight="true" outlineLevel="0" collapsed="false">
      <c r="A33" s="55" t="s">
        <v>16</v>
      </c>
      <c r="B33" s="55" t="s">
        <v>4970</v>
      </c>
      <c r="C33" s="55" t="s">
        <v>4971</v>
      </c>
      <c r="D33" s="55" t="s">
        <v>4980</v>
      </c>
      <c r="E33" s="55" t="s">
        <v>4981</v>
      </c>
      <c r="F33" s="55" t="s">
        <v>4979</v>
      </c>
      <c r="G33" s="55" t="s">
        <v>1583</v>
      </c>
    </row>
    <row r="34" customFormat="false" ht="11.25" hidden="false" customHeight="true" outlineLevel="0" collapsed="false">
      <c r="A34" s="55" t="s">
        <v>16</v>
      </c>
      <c r="B34" s="55" t="s">
        <v>4970</v>
      </c>
      <c r="C34" s="55" t="s">
        <v>4971</v>
      </c>
      <c r="D34" s="55" t="s">
        <v>4982</v>
      </c>
      <c r="E34" s="55" t="s">
        <v>4983</v>
      </c>
      <c r="F34" s="55" t="s">
        <v>4974</v>
      </c>
      <c r="G34" s="55" t="s">
        <v>1585</v>
      </c>
    </row>
    <row r="35" customFormat="false" ht="11.25" hidden="false" customHeight="true" outlineLevel="0" collapsed="false">
      <c r="A35" s="55" t="s">
        <v>16</v>
      </c>
      <c r="B35" s="55" t="s">
        <v>4970</v>
      </c>
      <c r="C35" s="55" t="s">
        <v>4971</v>
      </c>
      <c r="D35" s="55" t="s">
        <v>4984</v>
      </c>
      <c r="E35" s="55" t="s">
        <v>4985</v>
      </c>
      <c r="F35" s="55" t="s">
        <v>4974</v>
      </c>
      <c r="G35" s="55" t="s">
        <v>1590</v>
      </c>
    </row>
    <row r="36" customFormat="false" ht="11.25" hidden="false" customHeight="true" outlineLevel="0" collapsed="false">
      <c r="A36" s="55" t="s">
        <v>16</v>
      </c>
      <c r="B36" s="55" t="s">
        <v>4986</v>
      </c>
      <c r="C36" s="55" t="s">
        <v>4987</v>
      </c>
      <c r="D36" s="55" t="s">
        <v>4986</v>
      </c>
      <c r="E36" s="55" t="s">
        <v>4987</v>
      </c>
      <c r="F36" s="55" t="s">
        <v>4915</v>
      </c>
      <c r="G36" s="55" t="s">
        <v>1595</v>
      </c>
    </row>
    <row r="37" customFormat="false" ht="11.25" hidden="false" customHeight="true" outlineLevel="0" collapsed="false">
      <c r="A37" s="55" t="s">
        <v>16</v>
      </c>
      <c r="B37" s="55" t="s">
        <v>4988</v>
      </c>
      <c r="C37" s="55" t="s">
        <v>4989</v>
      </c>
      <c r="D37" s="55" t="s">
        <v>4988</v>
      </c>
      <c r="E37" s="55" t="s">
        <v>4989</v>
      </c>
      <c r="F37" s="55" t="s">
        <v>4915</v>
      </c>
      <c r="G37" s="55" t="s">
        <v>1599</v>
      </c>
    </row>
    <row r="38" customFormat="false" ht="11.25" hidden="false" customHeight="true" outlineLevel="0" collapsed="false">
      <c r="A38" s="55" t="s">
        <v>16</v>
      </c>
      <c r="B38" s="55" t="s">
        <v>4990</v>
      </c>
      <c r="C38" s="55" t="s">
        <v>4991</v>
      </c>
      <c r="D38" s="55" t="s">
        <v>4990</v>
      </c>
      <c r="E38" s="55" t="s">
        <v>4991</v>
      </c>
      <c r="F38" s="55" t="s">
        <v>4915</v>
      </c>
      <c r="G38" s="55" t="s">
        <v>1607</v>
      </c>
    </row>
    <row r="39" customFormat="false" ht="11.25" hidden="false" customHeight="true" outlineLevel="0" collapsed="false">
      <c r="A39" s="55" t="s">
        <v>16</v>
      </c>
      <c r="B39" s="55" t="s">
        <v>4992</v>
      </c>
      <c r="C39" s="55" t="s">
        <v>4993</v>
      </c>
      <c r="D39" s="55" t="s">
        <v>4992</v>
      </c>
      <c r="E39" s="55" t="s">
        <v>4993</v>
      </c>
      <c r="F39" s="55" t="s">
        <v>4915</v>
      </c>
      <c r="G39" s="55" t="s">
        <v>1613</v>
      </c>
    </row>
    <row r="40" customFormat="false" ht="11.25" hidden="false" customHeight="true" outlineLevel="0" collapsed="false">
      <c r="A40" s="55" t="s">
        <v>16</v>
      </c>
      <c r="B40" s="55" t="s">
        <v>4994</v>
      </c>
      <c r="C40" s="55" t="s">
        <v>4995</v>
      </c>
      <c r="D40" s="55" t="s">
        <v>4994</v>
      </c>
      <c r="E40" s="55" t="s">
        <v>4995</v>
      </c>
      <c r="F40" s="55" t="s">
        <v>4915</v>
      </c>
      <c r="G40" s="55" t="s">
        <v>1618</v>
      </c>
    </row>
    <row r="41" customFormat="false" ht="11.25" hidden="false" customHeight="true" outlineLevel="0" collapsed="false">
      <c r="A41" s="55" t="s">
        <v>16</v>
      </c>
      <c r="B41" s="55" t="s">
        <v>4996</v>
      </c>
      <c r="C41" s="55" t="s">
        <v>4997</v>
      </c>
      <c r="D41" s="55" t="s">
        <v>4996</v>
      </c>
      <c r="E41" s="55" t="s">
        <v>4997</v>
      </c>
      <c r="F41" s="55" t="s">
        <v>4915</v>
      </c>
      <c r="G41" s="55" t="s">
        <v>1622</v>
      </c>
    </row>
    <row r="42" customFormat="false" ht="11.25" hidden="false" customHeight="true" outlineLevel="0" collapsed="false">
      <c r="A42" s="55" t="s">
        <v>16</v>
      </c>
      <c r="B42" s="55" t="s">
        <v>4998</v>
      </c>
      <c r="C42" s="55" t="s">
        <v>4999</v>
      </c>
      <c r="D42" s="55" t="s">
        <v>4998</v>
      </c>
      <c r="E42" s="55" t="s">
        <v>4999</v>
      </c>
      <c r="F42" s="55" t="s">
        <v>4915</v>
      </c>
      <c r="G42" s="55" t="s">
        <v>1625</v>
      </c>
    </row>
    <row r="43" customFormat="false" ht="11.25" hidden="false" customHeight="true" outlineLevel="0" collapsed="false">
      <c r="A43" s="55" t="s">
        <v>16</v>
      </c>
      <c r="B43" s="55" t="s">
        <v>98</v>
      </c>
      <c r="C43" s="55" t="s">
        <v>99</v>
      </c>
      <c r="D43" s="55" t="s">
        <v>98</v>
      </c>
      <c r="E43" s="55" t="s">
        <v>99</v>
      </c>
      <c r="F43" s="55" t="s">
        <v>4915</v>
      </c>
      <c r="G43" s="55" t="s">
        <v>97</v>
      </c>
    </row>
    <row r="44" customFormat="false" ht="11.25" hidden="false" customHeight="true" outlineLevel="0" collapsed="false">
      <c r="A44" s="55" t="s">
        <v>16</v>
      </c>
      <c r="B44" s="55" t="s">
        <v>5000</v>
      </c>
      <c r="C44" s="55" t="s">
        <v>5001</v>
      </c>
      <c r="D44" s="55" t="s">
        <v>5002</v>
      </c>
      <c r="E44" s="55" t="s">
        <v>5003</v>
      </c>
      <c r="F44" s="55" t="s">
        <v>4928</v>
      </c>
      <c r="G44" s="55" t="s">
        <v>1640</v>
      </c>
    </row>
    <row r="45" customFormat="false" ht="11.25" hidden="false" customHeight="true" outlineLevel="0" collapsed="false">
      <c r="A45" s="55" t="s">
        <v>16</v>
      </c>
      <c r="B45" s="55" t="s">
        <v>5000</v>
      </c>
      <c r="C45" s="55" t="s">
        <v>5001</v>
      </c>
      <c r="D45" s="55" t="s">
        <v>5004</v>
      </c>
      <c r="E45" s="55" t="s">
        <v>5005</v>
      </c>
      <c r="F45" s="55" t="s">
        <v>4928</v>
      </c>
      <c r="G45" s="55" t="s">
        <v>1645</v>
      </c>
    </row>
    <row r="46" customFormat="false" ht="11.25" hidden="false" customHeight="true" outlineLevel="0" collapsed="false">
      <c r="A46" s="55" t="s">
        <v>16</v>
      </c>
      <c r="B46" s="55" t="s">
        <v>5000</v>
      </c>
      <c r="C46" s="55" t="s">
        <v>5001</v>
      </c>
      <c r="D46" s="55" t="s">
        <v>5000</v>
      </c>
      <c r="E46" s="55" t="s">
        <v>5001</v>
      </c>
      <c r="F46" s="55" t="s">
        <v>4929</v>
      </c>
      <c r="G46" s="55" t="s">
        <v>1648</v>
      </c>
    </row>
    <row r="47" customFormat="false" ht="11.25" hidden="false" customHeight="true" outlineLevel="0" collapsed="false">
      <c r="A47" s="55" t="s">
        <v>16</v>
      </c>
      <c r="B47" s="55" t="s">
        <v>5000</v>
      </c>
      <c r="C47" s="55" t="s">
        <v>5001</v>
      </c>
      <c r="D47" s="55" t="s">
        <v>5006</v>
      </c>
      <c r="E47" s="55" t="s">
        <v>5007</v>
      </c>
      <c r="F47" s="55" t="s">
        <v>4928</v>
      </c>
      <c r="G47" s="55" t="s">
        <v>1654</v>
      </c>
    </row>
    <row r="48" customFormat="false" ht="11.25" hidden="false" customHeight="true" outlineLevel="0" collapsed="false">
      <c r="A48" s="55" t="s">
        <v>16</v>
      </c>
      <c r="B48" s="55" t="s">
        <v>5000</v>
      </c>
      <c r="C48" s="55" t="s">
        <v>5001</v>
      </c>
      <c r="D48" s="55" t="s">
        <v>5008</v>
      </c>
      <c r="E48" s="55" t="s">
        <v>5009</v>
      </c>
      <c r="F48" s="55" t="s">
        <v>4928</v>
      </c>
      <c r="G48" s="55" t="s">
        <v>1659</v>
      </c>
    </row>
    <row r="49" customFormat="false" ht="11.25" hidden="false" customHeight="true" outlineLevel="0" collapsed="false">
      <c r="A49" s="55" t="s">
        <v>16</v>
      </c>
      <c r="B49" s="55" t="s">
        <v>5010</v>
      </c>
      <c r="C49" s="55" t="s">
        <v>5011</v>
      </c>
      <c r="D49" s="55" t="s">
        <v>5010</v>
      </c>
      <c r="E49" s="55" t="s">
        <v>5011</v>
      </c>
      <c r="F49" s="55" t="s">
        <v>4915</v>
      </c>
      <c r="G49" s="55" t="s">
        <v>1662</v>
      </c>
    </row>
    <row r="50" customFormat="false" ht="11.25" hidden="false" customHeight="true" outlineLevel="0" collapsed="false">
      <c r="A50" s="55" t="s">
        <v>16</v>
      </c>
      <c r="B50" s="55" t="s">
        <v>5012</v>
      </c>
      <c r="C50" s="55" t="s">
        <v>5013</v>
      </c>
      <c r="D50" s="55" t="s">
        <v>5012</v>
      </c>
      <c r="E50" s="55" t="s">
        <v>5013</v>
      </c>
      <c r="F50" s="55" t="s">
        <v>4915</v>
      </c>
      <c r="G50" s="55" t="s">
        <v>1666</v>
      </c>
    </row>
    <row r="51" customFormat="false" ht="11.25" hidden="false" customHeight="true" outlineLevel="0" collapsed="false">
      <c r="A51" s="55" t="s">
        <v>16</v>
      </c>
      <c r="B51" s="55" t="s">
        <v>5014</v>
      </c>
      <c r="C51" s="55" t="s">
        <v>5015</v>
      </c>
      <c r="D51" s="55" t="s">
        <v>5016</v>
      </c>
      <c r="E51" s="55" t="s">
        <v>5017</v>
      </c>
      <c r="F51" s="55" t="s">
        <v>4928</v>
      </c>
      <c r="G51" s="55" t="s">
        <v>1671</v>
      </c>
    </row>
    <row r="52" customFormat="false" ht="11.25" hidden="false" customHeight="true" outlineLevel="0" collapsed="false">
      <c r="A52" s="55" t="s">
        <v>16</v>
      </c>
      <c r="B52" s="55" t="s">
        <v>5014</v>
      </c>
      <c r="C52" s="55" t="s">
        <v>5015</v>
      </c>
      <c r="D52" s="55" t="s">
        <v>5018</v>
      </c>
      <c r="E52" s="55" t="s">
        <v>5019</v>
      </c>
      <c r="F52" s="55" t="s">
        <v>5020</v>
      </c>
      <c r="G52" s="55" t="s">
        <v>1675</v>
      </c>
    </row>
    <row r="53" customFormat="false" ht="11.25" hidden="false" customHeight="true" outlineLevel="0" collapsed="false">
      <c r="A53" s="55" t="s">
        <v>16</v>
      </c>
      <c r="B53" s="55" t="s">
        <v>5014</v>
      </c>
      <c r="C53" s="55" t="s">
        <v>5015</v>
      </c>
      <c r="D53" s="55" t="s">
        <v>5014</v>
      </c>
      <c r="E53" s="55" t="s">
        <v>5015</v>
      </c>
      <c r="F53" s="55" t="s">
        <v>4929</v>
      </c>
      <c r="G53" s="55" t="s">
        <v>1677</v>
      </c>
    </row>
    <row r="54" customFormat="false" ht="11.25" hidden="false" customHeight="true" outlineLevel="0" collapsed="false">
      <c r="A54" s="55" t="s">
        <v>16</v>
      </c>
      <c r="B54" s="55" t="s">
        <v>5014</v>
      </c>
      <c r="C54" s="55" t="s">
        <v>5015</v>
      </c>
      <c r="D54" s="55" t="s">
        <v>5021</v>
      </c>
      <c r="E54" s="55" t="s">
        <v>5022</v>
      </c>
      <c r="F54" s="55" t="s">
        <v>4928</v>
      </c>
      <c r="G54" s="55" t="s">
        <v>1680</v>
      </c>
    </row>
    <row r="55" customFormat="false" ht="11.25" hidden="false" customHeight="true" outlineLevel="0" collapsed="false">
      <c r="A55" s="55" t="s">
        <v>16</v>
      </c>
      <c r="B55" s="55" t="s">
        <v>5014</v>
      </c>
      <c r="C55" s="55" t="s">
        <v>5015</v>
      </c>
      <c r="D55" s="55" t="s">
        <v>5023</v>
      </c>
      <c r="E55" s="55" t="s">
        <v>5024</v>
      </c>
      <c r="F55" s="55" t="s">
        <v>4928</v>
      </c>
      <c r="G55" s="55" t="s">
        <v>1684</v>
      </c>
    </row>
    <row r="56" customFormat="false" ht="11.25" hidden="false" customHeight="true" outlineLevel="0" collapsed="false">
      <c r="A56" s="55" t="s">
        <v>16</v>
      </c>
      <c r="B56" s="55" t="s">
        <v>5025</v>
      </c>
      <c r="C56" s="55" t="s">
        <v>5026</v>
      </c>
      <c r="D56" s="55" t="s">
        <v>5025</v>
      </c>
      <c r="E56" s="55" t="s">
        <v>5026</v>
      </c>
      <c r="F56" s="55" t="s">
        <v>4915</v>
      </c>
      <c r="G56" s="55" t="s">
        <v>1687</v>
      </c>
    </row>
    <row r="57" customFormat="false" ht="11.25" hidden="false" customHeight="true" outlineLevel="0" collapsed="false">
      <c r="A57" s="55" t="s">
        <v>16</v>
      </c>
      <c r="B57" s="55" t="s">
        <v>5027</v>
      </c>
      <c r="C57" s="55" t="s">
        <v>5028</v>
      </c>
      <c r="D57" s="55" t="s">
        <v>5027</v>
      </c>
      <c r="E57" s="55" t="s">
        <v>5028</v>
      </c>
      <c r="F57" s="55" t="s">
        <v>4915</v>
      </c>
      <c r="G57" s="55" t="s">
        <v>1690</v>
      </c>
    </row>
    <row r="58" customFormat="false" ht="11.25" hidden="false" customHeight="true" outlineLevel="0" collapsed="false">
      <c r="A58" s="55" t="s">
        <v>16</v>
      </c>
      <c r="B58" s="55" t="s">
        <v>5029</v>
      </c>
      <c r="C58" s="55" t="s">
        <v>5030</v>
      </c>
      <c r="D58" s="55" t="s">
        <v>5029</v>
      </c>
      <c r="E58" s="55" t="s">
        <v>5030</v>
      </c>
      <c r="F58" s="55" t="s">
        <v>4915</v>
      </c>
      <c r="G58" s="55" t="s">
        <v>1693</v>
      </c>
    </row>
    <row r="59" customFormat="false" ht="11.25" hidden="false" customHeight="true" outlineLevel="0" collapsed="false">
      <c r="A59" s="55" t="s">
        <v>16</v>
      </c>
      <c r="B59" s="55" t="s">
        <v>5031</v>
      </c>
      <c r="C59" s="55" t="s">
        <v>5032</v>
      </c>
      <c r="D59" s="55" t="s">
        <v>5031</v>
      </c>
      <c r="E59" s="55" t="s">
        <v>5032</v>
      </c>
      <c r="F59" s="55" t="s">
        <v>4915</v>
      </c>
      <c r="G59" s="55" t="s">
        <v>1697</v>
      </c>
    </row>
    <row r="60" customFormat="false" ht="11.25" hidden="false" customHeight="true" outlineLevel="0" collapsed="false">
      <c r="A60" s="55" t="s">
        <v>16</v>
      </c>
      <c r="B60" s="55" t="s">
        <v>5033</v>
      </c>
      <c r="C60" s="55" t="s">
        <v>5034</v>
      </c>
      <c r="D60" s="55" t="s">
        <v>5033</v>
      </c>
      <c r="E60" s="55" t="s">
        <v>5034</v>
      </c>
      <c r="F60" s="55" t="s">
        <v>4915</v>
      </c>
      <c r="G60" s="55" t="s">
        <v>1700</v>
      </c>
    </row>
    <row r="61" customFormat="false" ht="11.25" hidden="false" customHeight="true" outlineLevel="0" collapsed="false">
      <c r="A61" s="55" t="s">
        <v>16</v>
      </c>
      <c r="B61" s="55" t="s">
        <v>5035</v>
      </c>
      <c r="C61" s="55" t="s">
        <v>5036</v>
      </c>
      <c r="D61" s="55" t="s">
        <v>5035</v>
      </c>
      <c r="E61" s="55" t="s">
        <v>5036</v>
      </c>
      <c r="F61" s="55" t="s">
        <v>4915</v>
      </c>
      <c r="G61" s="55" t="s">
        <v>5037</v>
      </c>
    </row>
    <row r="62" customFormat="false" ht="11.25" hidden="false" customHeight="true" outlineLevel="0" collapsed="false">
      <c r="A62" s="55" t="s">
        <v>16</v>
      </c>
      <c r="B62" s="55" t="s">
        <v>5038</v>
      </c>
      <c r="C62" s="55" t="s">
        <v>5039</v>
      </c>
      <c r="D62" s="55" t="s">
        <v>5038</v>
      </c>
      <c r="E62" s="55" t="s">
        <v>5039</v>
      </c>
      <c r="F62" s="55" t="s">
        <v>4915</v>
      </c>
      <c r="G62" s="55" t="s">
        <v>5040</v>
      </c>
    </row>
    <row r="63" customFormat="false" ht="11.25" hidden="false" customHeight="true" outlineLevel="0" collapsed="false">
      <c r="A63" s="55" t="s">
        <v>16</v>
      </c>
      <c r="B63" s="55" t="s">
        <v>5041</v>
      </c>
      <c r="C63" s="55" t="s">
        <v>5042</v>
      </c>
      <c r="D63" s="55" t="s">
        <v>5041</v>
      </c>
      <c r="E63" s="55" t="s">
        <v>5042</v>
      </c>
      <c r="F63" s="55" t="s">
        <v>4915</v>
      </c>
      <c r="G63" s="55" t="s">
        <v>5043</v>
      </c>
    </row>
    <row r="64" customFormat="false" ht="11.25" hidden="false" customHeight="true" outlineLevel="0" collapsed="false">
      <c r="A64" s="55" t="s">
        <v>16</v>
      </c>
      <c r="B64" s="55" t="s">
        <v>5044</v>
      </c>
      <c r="C64" s="55" t="s">
        <v>5045</v>
      </c>
      <c r="D64" s="55" t="s">
        <v>5044</v>
      </c>
      <c r="E64" s="55" t="s">
        <v>5045</v>
      </c>
      <c r="F64" s="55" t="s">
        <v>4915</v>
      </c>
      <c r="G64" s="55" t="s">
        <v>5046</v>
      </c>
    </row>
    <row r="65" customFormat="false" ht="11.25" hidden="false" customHeight="true" outlineLevel="0" collapsed="false">
      <c r="A65" s="55" t="s">
        <v>16</v>
      </c>
      <c r="B65" s="55" t="s">
        <v>5047</v>
      </c>
      <c r="C65" s="55" t="s">
        <v>5048</v>
      </c>
      <c r="D65" s="55" t="s">
        <v>5047</v>
      </c>
      <c r="E65" s="55" t="s">
        <v>5048</v>
      </c>
      <c r="F65" s="55" t="s">
        <v>4915</v>
      </c>
      <c r="G65" s="55" t="s">
        <v>5049</v>
      </c>
    </row>
    <row r="66" customFormat="false" ht="11.25" hidden="false" customHeight="true" outlineLevel="0" collapsed="false">
      <c r="A66" s="55" t="s">
        <v>16</v>
      </c>
      <c r="B66" s="55" t="s">
        <v>5050</v>
      </c>
      <c r="C66" s="55" t="s">
        <v>5051</v>
      </c>
      <c r="D66" s="55" t="s">
        <v>5050</v>
      </c>
      <c r="E66" s="55" t="s">
        <v>5051</v>
      </c>
      <c r="F66" s="55" t="s">
        <v>4915</v>
      </c>
      <c r="G66" s="55" t="s">
        <v>5052</v>
      </c>
    </row>
    <row r="67" customFormat="false" ht="11.25" hidden="false" customHeight="true" outlineLevel="0" collapsed="false">
      <c r="A67" s="55" t="s">
        <v>16</v>
      </c>
      <c r="B67" s="55" t="s">
        <v>5053</v>
      </c>
      <c r="C67" s="55" t="s">
        <v>5054</v>
      </c>
      <c r="D67" s="55" t="s">
        <v>5053</v>
      </c>
      <c r="E67" s="55" t="s">
        <v>5054</v>
      </c>
      <c r="F67" s="55" t="s">
        <v>4915</v>
      </c>
      <c r="G67" s="55" t="s">
        <v>2017</v>
      </c>
    </row>
    <row r="68" customFormat="false" ht="11.25" hidden="false" customHeight="true" outlineLevel="0" collapsed="false">
      <c r="A68" s="55" t="s">
        <v>16</v>
      </c>
      <c r="B68" s="55" t="s">
        <v>5055</v>
      </c>
      <c r="C68" s="55" t="s">
        <v>5056</v>
      </c>
      <c r="D68" s="55" t="s">
        <v>5055</v>
      </c>
      <c r="E68" s="55" t="s">
        <v>5056</v>
      </c>
      <c r="F68" s="55" t="s">
        <v>4915</v>
      </c>
      <c r="G68" s="55" t="s">
        <v>5057</v>
      </c>
    </row>
    <row r="69" customFormat="false" ht="11.25" hidden="false" customHeight="true" outlineLevel="0" collapsed="false">
      <c r="A69" s="55" t="s">
        <v>16</v>
      </c>
      <c r="B69" s="55" t="s">
        <v>5058</v>
      </c>
      <c r="C69" s="55" t="s">
        <v>5059</v>
      </c>
      <c r="D69" s="55" t="s">
        <v>5058</v>
      </c>
      <c r="E69" s="55" t="s">
        <v>5059</v>
      </c>
      <c r="F69" s="55" t="s">
        <v>4915</v>
      </c>
      <c r="G69" s="55" t="s">
        <v>2220</v>
      </c>
    </row>
    <row r="70" customFormat="false" ht="11.25" hidden="false" customHeight="true" outlineLevel="0" collapsed="false">
      <c r="A70" s="55" t="s">
        <v>16</v>
      </c>
      <c r="B70" s="55" t="s">
        <v>5060</v>
      </c>
      <c r="C70" s="55" t="s">
        <v>5061</v>
      </c>
      <c r="D70" s="55" t="s">
        <v>5060</v>
      </c>
      <c r="E70" s="55" t="s">
        <v>5061</v>
      </c>
      <c r="F70" s="55" t="s">
        <v>4915</v>
      </c>
      <c r="G70" s="55" t="s">
        <v>5062</v>
      </c>
    </row>
    <row r="71" customFormat="false" ht="11.25" hidden="false" customHeight="true" outlineLevel="0" collapsed="false">
      <c r="A71" s="55" t="s">
        <v>16</v>
      </c>
      <c r="B71" s="55" t="s">
        <v>5063</v>
      </c>
      <c r="C71" s="55" t="s">
        <v>5064</v>
      </c>
      <c r="D71" s="55" t="s">
        <v>5063</v>
      </c>
      <c r="E71" s="55" t="s">
        <v>5064</v>
      </c>
      <c r="F71" s="55" t="s">
        <v>4915</v>
      </c>
      <c r="G71" s="55" t="s">
        <v>5065</v>
      </c>
    </row>
    <row r="72" customFormat="false" ht="11.25" hidden="false" customHeight="true" outlineLevel="0" collapsed="false">
      <c r="A72" s="55" t="s">
        <v>16</v>
      </c>
      <c r="B72" s="55" t="s">
        <v>5066</v>
      </c>
      <c r="C72" s="55" t="s">
        <v>5067</v>
      </c>
      <c r="D72" s="55" t="s">
        <v>5066</v>
      </c>
      <c r="E72" s="55" t="s">
        <v>5067</v>
      </c>
      <c r="F72" s="55" t="s">
        <v>4915</v>
      </c>
      <c r="G72" s="55" t="s">
        <v>5068</v>
      </c>
    </row>
    <row r="73" customFormat="false" ht="11.25" hidden="false" customHeight="true" outlineLevel="0" collapsed="false">
      <c r="A73" s="55" t="s">
        <v>16</v>
      </c>
      <c r="B73" s="55" t="s">
        <v>5069</v>
      </c>
      <c r="C73" s="55" t="s">
        <v>5070</v>
      </c>
      <c r="D73" s="55" t="s">
        <v>5069</v>
      </c>
      <c r="E73" s="55" t="s">
        <v>5070</v>
      </c>
      <c r="F73" s="55" t="s">
        <v>4915</v>
      </c>
      <c r="G73" s="55" t="s">
        <v>5071</v>
      </c>
    </row>
    <row r="74" customFormat="false" ht="11.25" hidden="false" customHeight="true" outlineLevel="0" collapsed="false">
      <c r="A74" s="55" t="s">
        <v>16</v>
      </c>
      <c r="B74" s="55" t="s">
        <v>5072</v>
      </c>
      <c r="C74" s="55" t="s">
        <v>5073</v>
      </c>
      <c r="D74" s="55" t="s">
        <v>5072</v>
      </c>
      <c r="E74" s="55" t="s">
        <v>5073</v>
      </c>
      <c r="F74" s="55" t="s">
        <v>4915</v>
      </c>
      <c r="G74" s="55" t="s">
        <v>5074</v>
      </c>
    </row>
    <row r="75" customFormat="false" ht="11.25" hidden="false" customHeight="true" outlineLevel="0" collapsed="false">
      <c r="A75" s="55" t="s">
        <v>16</v>
      </c>
      <c r="B75" s="55" t="s">
        <v>5075</v>
      </c>
      <c r="C75" s="55" t="s">
        <v>5076</v>
      </c>
      <c r="D75" s="55" t="s">
        <v>5075</v>
      </c>
      <c r="E75" s="55" t="s">
        <v>5076</v>
      </c>
      <c r="F75" s="55" t="s">
        <v>4915</v>
      </c>
      <c r="G75" s="55" t="s">
        <v>5077</v>
      </c>
    </row>
    <row r="76" customFormat="false" ht="11.25" hidden="false" customHeight="true" outlineLevel="0" collapsed="false">
      <c r="A76" s="55" t="s">
        <v>16</v>
      </c>
      <c r="B76" s="55" t="s">
        <v>5078</v>
      </c>
      <c r="C76" s="55" t="s">
        <v>5079</v>
      </c>
      <c r="D76" s="55" t="s">
        <v>5078</v>
      </c>
      <c r="E76" s="55" t="s">
        <v>5079</v>
      </c>
      <c r="F76" s="55" t="s">
        <v>4915</v>
      </c>
      <c r="G76" s="55" t="s">
        <v>5080</v>
      </c>
    </row>
    <row r="77" customFormat="false" ht="11.25" hidden="false" customHeight="true" outlineLevel="0" collapsed="false">
      <c r="A77" s="55" t="s">
        <v>16</v>
      </c>
      <c r="B77" s="55" t="s">
        <v>5081</v>
      </c>
      <c r="C77" s="55" t="s">
        <v>5082</v>
      </c>
      <c r="D77" s="55" t="s">
        <v>5081</v>
      </c>
      <c r="E77" s="55" t="s">
        <v>5082</v>
      </c>
      <c r="F77" s="55" t="s">
        <v>4915</v>
      </c>
      <c r="G77" s="55" t="s">
        <v>5083</v>
      </c>
    </row>
    <row r="78" customFormat="false" ht="11.25" hidden="false" customHeight="true" outlineLevel="0" collapsed="false">
      <c r="A78" s="55" t="s">
        <v>16</v>
      </c>
      <c r="B78" s="55" t="s">
        <v>5084</v>
      </c>
      <c r="C78" s="55" t="s">
        <v>5085</v>
      </c>
      <c r="D78" s="55" t="s">
        <v>5084</v>
      </c>
      <c r="E78" s="55" t="s">
        <v>5085</v>
      </c>
      <c r="F78" s="55" t="s">
        <v>4915</v>
      </c>
      <c r="G78" s="55" t="s">
        <v>5086</v>
      </c>
    </row>
    <row r="79" customFormat="false" ht="11.25" hidden="false" customHeight="true" outlineLevel="0" collapsed="false">
      <c r="A79" s="55" t="s">
        <v>16</v>
      </c>
      <c r="B79" s="55" t="s">
        <v>5087</v>
      </c>
      <c r="C79" s="55" t="s">
        <v>5088</v>
      </c>
      <c r="D79" s="55" t="s">
        <v>5087</v>
      </c>
      <c r="E79" s="55" t="s">
        <v>5088</v>
      </c>
      <c r="F79" s="55" t="s">
        <v>4915</v>
      </c>
      <c r="G79" s="55" t="s">
        <v>5089</v>
      </c>
    </row>
    <row r="80" customFormat="false" ht="11.25" hidden="false" customHeight="true" outlineLevel="0" collapsed="false">
      <c r="A80" s="55" t="s">
        <v>16</v>
      </c>
      <c r="B80" s="55" t="s">
        <v>5090</v>
      </c>
      <c r="C80" s="55" t="s">
        <v>5091</v>
      </c>
      <c r="D80" s="55" t="s">
        <v>5090</v>
      </c>
      <c r="E80" s="55" t="s">
        <v>5091</v>
      </c>
      <c r="F80" s="55" t="s">
        <v>4915</v>
      </c>
      <c r="G80" s="55" t="s">
        <v>5092</v>
      </c>
    </row>
    <row r="81" customFormat="false" ht="11.25" hidden="false" customHeight="true" outlineLevel="0" collapsed="false">
      <c r="A81" s="55" t="s">
        <v>16</v>
      </c>
      <c r="B81" s="55" t="s">
        <v>5093</v>
      </c>
      <c r="C81" s="55" t="s">
        <v>5094</v>
      </c>
      <c r="D81" s="55" t="s">
        <v>5093</v>
      </c>
      <c r="E81" s="55" t="s">
        <v>5094</v>
      </c>
      <c r="F81" s="55" t="s">
        <v>4915</v>
      </c>
      <c r="G81" s="55" t="s">
        <v>5095</v>
      </c>
    </row>
    <row r="82" customFormat="false" ht="11.25" hidden="false" customHeight="true" outlineLevel="0" collapsed="false">
      <c r="A82" s="55" t="s">
        <v>16</v>
      </c>
      <c r="B82" s="55" t="s">
        <v>5096</v>
      </c>
      <c r="C82" s="55" t="s">
        <v>5097</v>
      </c>
      <c r="D82" s="55" t="s">
        <v>5096</v>
      </c>
      <c r="E82" s="55" t="s">
        <v>5097</v>
      </c>
      <c r="F82" s="55" t="s">
        <v>4915</v>
      </c>
      <c r="G82" s="55" t="s">
        <v>5098</v>
      </c>
    </row>
    <row r="83" customFormat="false" ht="11.25" hidden="false" customHeight="true" outlineLevel="0" collapsed="false">
      <c r="A83" s="55" t="s">
        <v>16</v>
      </c>
      <c r="B83" s="55" t="s">
        <v>5099</v>
      </c>
      <c r="C83" s="55" t="s">
        <v>5100</v>
      </c>
      <c r="D83" s="55" t="s">
        <v>5099</v>
      </c>
      <c r="E83" s="55" t="s">
        <v>5100</v>
      </c>
      <c r="F83" s="55" t="s">
        <v>4915</v>
      </c>
      <c r="G83" s="55" t="s">
        <v>5101</v>
      </c>
    </row>
    <row r="84" customFormat="false" ht="11.25" hidden="false" customHeight="true" outlineLevel="0" collapsed="false">
      <c r="A84" s="55" t="s">
        <v>16</v>
      </c>
      <c r="B84" s="55" t="s">
        <v>5102</v>
      </c>
      <c r="C84" s="55" t="s">
        <v>5103</v>
      </c>
      <c r="D84" s="55" t="s">
        <v>5102</v>
      </c>
      <c r="E84" s="55" t="s">
        <v>5103</v>
      </c>
      <c r="F84" s="55" t="s">
        <v>4915</v>
      </c>
      <c r="G84" s="55" t="s">
        <v>5104</v>
      </c>
    </row>
    <row r="85" customFormat="false" ht="11.25" hidden="false" customHeight="true" outlineLevel="0" collapsed="false">
      <c r="A85" s="55" t="s">
        <v>16</v>
      </c>
      <c r="B85" s="55" t="s">
        <v>5105</v>
      </c>
      <c r="C85" s="55" t="s">
        <v>5106</v>
      </c>
      <c r="D85" s="55" t="s">
        <v>5105</v>
      </c>
      <c r="E85" s="55" t="s">
        <v>5106</v>
      </c>
      <c r="F85" s="55" t="s">
        <v>4915</v>
      </c>
      <c r="G85" s="55" t="s">
        <v>5107</v>
      </c>
    </row>
    <row r="86" customFormat="false" ht="11.25" hidden="false" customHeight="true" outlineLevel="0" collapsed="false">
      <c r="A86" s="55" t="s">
        <v>16</v>
      </c>
      <c r="B86" s="55" t="s">
        <v>5108</v>
      </c>
      <c r="C86" s="55" t="s">
        <v>5109</v>
      </c>
      <c r="D86" s="55" t="s">
        <v>5108</v>
      </c>
      <c r="E86" s="55" t="s">
        <v>5109</v>
      </c>
      <c r="F86" s="55" t="s">
        <v>4915</v>
      </c>
      <c r="G86" s="55" t="s">
        <v>5110</v>
      </c>
    </row>
    <row r="87" customFormat="false" ht="11.25" hidden="false" customHeight="true" outlineLevel="0" collapsed="false">
      <c r="A87" s="55" t="s">
        <v>16</v>
      </c>
      <c r="B87" s="55" t="s">
        <v>5111</v>
      </c>
      <c r="C87" s="55" t="s">
        <v>5112</v>
      </c>
      <c r="D87" s="55" t="s">
        <v>5113</v>
      </c>
      <c r="E87" s="55" t="s">
        <v>5114</v>
      </c>
      <c r="F87" s="55" t="s">
        <v>4928</v>
      </c>
      <c r="G87" s="55" t="s">
        <v>5115</v>
      </c>
    </row>
    <row r="88" customFormat="false" ht="11.25" hidden="false" customHeight="true" outlineLevel="0" collapsed="false">
      <c r="A88" s="55" t="s">
        <v>16</v>
      </c>
      <c r="B88" s="55" t="s">
        <v>5111</v>
      </c>
      <c r="C88" s="55" t="s">
        <v>5112</v>
      </c>
      <c r="D88" s="55" t="s">
        <v>5116</v>
      </c>
      <c r="E88" s="55" t="s">
        <v>5117</v>
      </c>
      <c r="F88" s="55" t="s">
        <v>4928</v>
      </c>
      <c r="G88" s="55" t="s">
        <v>5118</v>
      </c>
    </row>
    <row r="89" customFormat="false" ht="11.25" hidden="false" customHeight="true" outlineLevel="0" collapsed="false">
      <c r="A89" s="55" t="s">
        <v>16</v>
      </c>
      <c r="B89" s="55" t="s">
        <v>5111</v>
      </c>
      <c r="C89" s="55" t="s">
        <v>5112</v>
      </c>
      <c r="D89" s="55" t="s">
        <v>5119</v>
      </c>
      <c r="E89" s="55" t="s">
        <v>5120</v>
      </c>
      <c r="F89" s="55" t="s">
        <v>4928</v>
      </c>
      <c r="G89" s="55" t="s">
        <v>5121</v>
      </c>
    </row>
    <row r="90" customFormat="false" ht="11.25" hidden="false" customHeight="true" outlineLevel="0" collapsed="false">
      <c r="A90" s="55" t="s">
        <v>16</v>
      </c>
      <c r="B90" s="55" t="s">
        <v>5111</v>
      </c>
      <c r="C90" s="55" t="s">
        <v>5112</v>
      </c>
      <c r="D90" s="55" t="s">
        <v>5122</v>
      </c>
      <c r="E90" s="55" t="s">
        <v>5123</v>
      </c>
      <c r="F90" s="55" t="s">
        <v>4928</v>
      </c>
      <c r="G90" s="55" t="s">
        <v>5124</v>
      </c>
    </row>
    <row r="91" customFormat="false" ht="11.25" hidden="false" customHeight="true" outlineLevel="0" collapsed="false">
      <c r="A91" s="55" t="s">
        <v>16</v>
      </c>
      <c r="B91" s="55" t="s">
        <v>5111</v>
      </c>
      <c r="C91" s="55" t="s">
        <v>5112</v>
      </c>
      <c r="D91" s="55" t="s">
        <v>5125</v>
      </c>
      <c r="E91" s="55" t="s">
        <v>5126</v>
      </c>
      <c r="F91" s="55" t="s">
        <v>4928</v>
      </c>
      <c r="G91" s="55" t="s">
        <v>5127</v>
      </c>
    </row>
    <row r="92" customFormat="false" ht="11.25" hidden="false" customHeight="true" outlineLevel="0" collapsed="false">
      <c r="A92" s="55" t="s">
        <v>16</v>
      </c>
      <c r="B92" s="55" t="s">
        <v>5111</v>
      </c>
      <c r="C92" s="55" t="s">
        <v>5112</v>
      </c>
      <c r="D92" s="55" t="s">
        <v>5111</v>
      </c>
      <c r="E92" s="55" t="s">
        <v>5112</v>
      </c>
      <c r="F92" s="55" t="s">
        <v>4929</v>
      </c>
      <c r="G92" s="55" t="s">
        <v>5128</v>
      </c>
    </row>
    <row r="93" customFormat="false" ht="11.25" hidden="false" customHeight="true" outlineLevel="0" collapsed="false">
      <c r="A93" s="55" t="s">
        <v>16</v>
      </c>
      <c r="B93" s="55" t="s">
        <v>5129</v>
      </c>
      <c r="C93" s="55" t="s">
        <v>5130</v>
      </c>
      <c r="D93" s="55" t="s">
        <v>5129</v>
      </c>
      <c r="E93" s="55" t="s">
        <v>5130</v>
      </c>
      <c r="F93" s="55" t="s">
        <v>4915</v>
      </c>
      <c r="G93" s="55" t="s">
        <v>5131</v>
      </c>
    </row>
    <row r="94" customFormat="false" ht="11.25" hidden="false" customHeight="true" outlineLevel="0" collapsed="false">
      <c r="A94" s="55" t="s">
        <v>16</v>
      </c>
      <c r="B94" s="55" t="s">
        <v>5132</v>
      </c>
      <c r="C94" s="55" t="s">
        <v>5133</v>
      </c>
      <c r="D94" s="55" t="s">
        <v>5132</v>
      </c>
      <c r="E94" s="55" t="s">
        <v>5133</v>
      </c>
      <c r="F94" s="55" t="s">
        <v>4915</v>
      </c>
      <c r="G94" s="55" t="s">
        <v>5134</v>
      </c>
    </row>
    <row r="95" customFormat="false" ht="11.25" hidden="false" customHeight="true" outlineLevel="0" collapsed="false">
      <c r="A95" s="55" t="s">
        <v>16</v>
      </c>
      <c r="B95" s="55" t="s">
        <v>5135</v>
      </c>
      <c r="C95" s="55" t="s">
        <v>5136</v>
      </c>
      <c r="D95" s="55" t="s">
        <v>5135</v>
      </c>
      <c r="E95" s="55" t="s">
        <v>5136</v>
      </c>
      <c r="F95" s="55" t="s">
        <v>4915</v>
      </c>
      <c r="G95" s="55" t="s">
        <v>5137</v>
      </c>
    </row>
    <row r="96" customFormat="false" ht="11.25" hidden="false" customHeight="true" outlineLevel="0" collapsed="false">
      <c r="A96" s="55" t="s">
        <v>16</v>
      </c>
      <c r="B96" s="55" t="s">
        <v>5138</v>
      </c>
      <c r="C96" s="55" t="s">
        <v>5139</v>
      </c>
      <c r="D96" s="55" t="s">
        <v>5138</v>
      </c>
      <c r="E96" s="55" t="s">
        <v>5139</v>
      </c>
      <c r="F96" s="55" t="s">
        <v>4915</v>
      </c>
      <c r="G96" s="55" t="s">
        <v>5140</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90" width="9.15"/>
    <col collapsed="false" customWidth="true" hidden="false" outlineLevel="0" max="2" min="2" style="690" width="84.28"/>
    <col collapsed="false" customWidth="false" hidden="false" outlineLevel="0" max="3" min="3" style="690" width="9.15"/>
  </cols>
  <sheetData>
    <row r="1" customFormat="false" ht="11.25" hidden="false" customHeight="true" outlineLevel="0" collapsed="false">
      <c r="A1" s="690" t="s">
        <v>5157</v>
      </c>
      <c r="B1" s="690" t="s">
        <v>5158</v>
      </c>
      <c r="C1" s="690" t="s">
        <v>1162</v>
      </c>
    </row>
    <row r="2" customFormat="false" ht="11.25" hidden="false" customHeight="true" outlineLevel="0" collapsed="false">
      <c r="A2" s="690" t="n">
        <v>4189678</v>
      </c>
      <c r="B2" s="690" t="s">
        <v>5159</v>
      </c>
      <c r="C2" s="690" t="s">
        <v>5160</v>
      </c>
    </row>
    <row r="3" customFormat="false" ht="11.25" hidden="false" customHeight="true" outlineLevel="0" collapsed="false">
      <c r="A3" s="690" t="n">
        <v>4190415</v>
      </c>
      <c r="B3" s="690" t="s">
        <v>5161</v>
      </c>
      <c r="C3" s="690" t="s">
        <v>5160</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5" zeroHeight="false" outlineLevelRow="0" outlineLevelCol="0"/>
  <cols>
    <col collapsed="false" customWidth="true" hidden="false" outlineLevel="0" max="1" min="1" style="1274" width="38.43"/>
    <col collapsed="false" customWidth="false" hidden="false" outlineLevel="0" max="5" min="2" style="1274" width="9.15"/>
  </cols>
  <sheetData>
    <row r="1" customFormat="false" ht="15" hidden="false" customHeight="true" outlineLevel="0" collapsed="false">
      <c r="A1" s="1275" t="s">
        <v>5162</v>
      </c>
      <c r="B1" s="1275" t="s">
        <v>5163</v>
      </c>
      <c r="C1" s="1275"/>
      <c r="D1" s="1275"/>
      <c r="E1" s="1275"/>
    </row>
    <row r="2" customFormat="false" ht="15" hidden="false" customHeight="true" outlineLevel="0" collapsed="false">
      <c r="A2" s="1275"/>
      <c r="B2" s="1275"/>
      <c r="C2" s="1275"/>
      <c r="D2" s="1275"/>
      <c r="E2" s="1275"/>
    </row>
    <row r="3" customFormat="false" ht="15" hidden="false" customHeight="true" outlineLevel="0" collapsed="false">
      <c r="A3" s="1275"/>
      <c r="B3" s="1275"/>
      <c r="C3" s="1275"/>
      <c r="D3" s="1275"/>
      <c r="E3" s="1275"/>
    </row>
    <row r="4" customFormat="false" ht="15" hidden="false" customHeight="true" outlineLevel="0" collapsed="false">
      <c r="A4" s="1275"/>
      <c r="B4" s="1275"/>
      <c r="C4" s="1275"/>
      <c r="D4" s="1275"/>
      <c r="E4" s="1275"/>
    </row>
    <row r="5" customFormat="false" ht="15" hidden="false" customHeight="true" outlineLevel="0" collapsed="false">
      <c r="A5" s="1275"/>
      <c r="B5" s="1275"/>
      <c r="C5" s="1275"/>
      <c r="D5" s="1275"/>
      <c r="E5" s="1275"/>
    </row>
    <row r="6" customFormat="false" ht="15" hidden="false" customHeight="true" outlineLevel="0" collapsed="false">
      <c r="A6" s="1275"/>
      <c r="B6" s="1275"/>
      <c r="C6" s="1275"/>
      <c r="D6" s="1275"/>
      <c r="E6" s="1275"/>
    </row>
    <row r="7" customFormat="false" ht="15" hidden="false" customHeight="true" outlineLevel="0" collapsed="false">
      <c r="A7" s="1275"/>
      <c r="B7" s="1275"/>
      <c r="C7" s="1275"/>
      <c r="D7" s="1275"/>
      <c r="E7" s="1275"/>
    </row>
    <row r="8" customFormat="false" ht="15" hidden="false" customHeight="true" outlineLevel="0" collapsed="false">
      <c r="A8" s="1275"/>
      <c r="B8" s="1275"/>
      <c r="C8" s="1275"/>
      <c r="D8" s="1275"/>
      <c r="E8" s="1275"/>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t="s">
        <v>5164</v>
      </c>
      <c r="B1" s="55" t="n">
        <f aca="false">TRUE()</f>
        <v>1</v>
      </c>
    </row>
    <row r="2" customFormat="false" ht="11.25" hidden="false" customHeight="true" outlineLevel="0" collapsed="false">
      <c r="A2" s="55" t="s">
        <v>5165</v>
      </c>
      <c r="B2" s="55" t="n">
        <f aca="false">FALSE()</f>
        <v>0</v>
      </c>
    </row>
    <row r="3" customFormat="false" ht="11.25" hidden="false" customHeight="true" outlineLevel="0" collapsed="false">
      <c r="A3" s="55" t="s">
        <v>5166</v>
      </c>
      <c r="B3" s="55" t="n">
        <f aca="false">FALSE()</f>
        <v>0</v>
      </c>
    </row>
    <row r="4" customFormat="false" ht="11.25" hidden="false" customHeight="true" outlineLevel="0" collapsed="false">
      <c r="A4" s="55" t="s">
        <v>5167</v>
      </c>
      <c r="B4" s="55" t="n">
        <f aca="false">FALSE()</f>
        <v>0</v>
      </c>
    </row>
    <row r="5" customFormat="false" ht="11.25" hidden="false" customHeight="true" outlineLevel="0" collapsed="false">
      <c r="A5" s="55" t="s">
        <v>5168</v>
      </c>
      <c r="B5" s="55" t="n">
        <f aca="false">TRUE()</f>
        <v>1</v>
      </c>
    </row>
    <row r="6" customFormat="false" ht="11.25" hidden="false" customHeight="true" outlineLevel="0" collapsed="false">
      <c r="A6" s="55" t="s">
        <v>5169</v>
      </c>
      <c r="B6" s="55" t="n">
        <f aca="false">FALSE()</f>
        <v>0</v>
      </c>
    </row>
    <row r="7" customFormat="false" ht="11.25" hidden="false" customHeight="true" outlineLevel="0" collapsed="false">
      <c r="A7" s="55" t="s">
        <v>5170</v>
      </c>
      <c r="B7" s="55" t="n">
        <f aca="false">FALSE()</f>
        <v>0</v>
      </c>
    </row>
    <row r="8" customFormat="false" ht="11.25" hidden="false" customHeight="true" outlineLevel="0" collapsed="false">
      <c r="A8" s="55" t="s">
        <v>5171</v>
      </c>
      <c r="B8" s="55" t="n">
        <f aca="false">FALSE()</f>
        <v>0</v>
      </c>
    </row>
    <row r="9" customFormat="false" ht="11.25" hidden="false" customHeight="true" outlineLevel="0" collapsed="false">
      <c r="A9" s="55" t="s">
        <v>5172</v>
      </c>
      <c r="B9" s="55" t="n">
        <f aca="false">FALSE()</f>
        <v>0</v>
      </c>
    </row>
    <row r="10" customFormat="false" ht="11.25" hidden="false" customHeight="true" outlineLevel="0" collapsed="false">
      <c r="A10" s="55" t="s">
        <v>5173</v>
      </c>
      <c r="B10" s="55" t="n">
        <f aca="false">FALSE()</f>
        <v>0</v>
      </c>
    </row>
    <row r="11" customFormat="false" ht="11.25" hidden="false" customHeight="true" outlineLevel="0" collapsed="false">
      <c r="A11" s="55" t="s">
        <v>5174</v>
      </c>
      <c r="B11" s="55" t="n">
        <f aca="false">TRUE()</f>
        <v>1</v>
      </c>
    </row>
    <row r="12" customFormat="false" ht="11.25" hidden="false" customHeight="true" outlineLevel="0" collapsed="false">
      <c r="A12" s="55" t="s">
        <v>5175</v>
      </c>
      <c r="B12" s="55" t="n">
        <f aca="false">FALSE()</f>
        <v>0</v>
      </c>
    </row>
    <row r="13" customFormat="false" ht="11.25" hidden="false" customHeight="true" outlineLevel="0" collapsed="false">
      <c r="A13" s="55" t="s">
        <v>5176</v>
      </c>
      <c r="B13" s="55" t="n">
        <f aca="false">FALSE()</f>
        <v>0</v>
      </c>
    </row>
    <row r="14" customFormat="false" ht="11.25" hidden="false" customHeight="true" outlineLevel="0" collapsed="false">
      <c r="A14" s="55" t="s">
        <v>5177</v>
      </c>
      <c r="B14" s="55" t="n">
        <f aca="false">FALSE()</f>
        <v>0</v>
      </c>
    </row>
    <row r="15" customFormat="false" ht="11.25" hidden="false" customHeight="true" outlineLevel="0" collapsed="false">
      <c r="A15" s="55" t="s">
        <v>5178</v>
      </c>
      <c r="B15" s="55" t="n">
        <f aca="false">TRUE()</f>
        <v>1</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2.75" zeroHeight="false" outlineLevelRow="0" outlineLevelCol="0"/>
  <cols>
    <col collapsed="false" customWidth="false" hidden="false" outlineLevel="0" max="1" min="1" style="1" width="9.15"/>
  </cols>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25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36.28"/>
    <col collapsed="false" customWidth="true" hidden="false" outlineLevel="0" max="2" min="2" style="55" width="21.15"/>
  </cols>
  <sheetData>
    <row r="1" customFormat="false" ht="11.25" hidden="false" customHeight="true" outlineLevel="0" collapsed="false">
      <c r="A1" s="1276" t="s">
        <v>5179</v>
      </c>
      <c r="B1" s="1276" t="s">
        <v>5180</v>
      </c>
    </row>
    <row r="2" customFormat="false" ht="11.25" hidden="false" customHeight="true" outlineLevel="0" collapsed="false">
      <c r="A2" s="176" t="s">
        <v>5181</v>
      </c>
      <c r="B2" s="176" t="s">
        <v>5182</v>
      </c>
    </row>
    <row r="3" customFormat="false" ht="11.25" hidden="false" customHeight="true" outlineLevel="0" collapsed="false">
      <c r="A3" s="176" t="s">
        <v>5183</v>
      </c>
      <c r="B3" s="176" t="s">
        <v>5184</v>
      </c>
    </row>
    <row r="4" customFormat="false" ht="11.25" hidden="false" customHeight="true" outlineLevel="0" collapsed="false">
      <c r="A4" s="176" t="s">
        <v>5185</v>
      </c>
      <c r="B4" s="176" t="s">
        <v>5186</v>
      </c>
    </row>
    <row r="5" customFormat="false" ht="11.25" hidden="false" customHeight="true" outlineLevel="0" collapsed="false">
      <c r="A5" s="176" t="s">
        <v>5187</v>
      </c>
      <c r="B5" s="176" t="s">
        <v>5188</v>
      </c>
    </row>
    <row r="6" customFormat="false" ht="11.25" hidden="false" customHeight="true" outlineLevel="0" collapsed="false">
      <c r="A6" s="176" t="s">
        <v>5189</v>
      </c>
      <c r="B6" s="176" t="s">
        <v>5190</v>
      </c>
    </row>
    <row r="7" customFormat="false" ht="11.25" hidden="false" customHeight="true" outlineLevel="0" collapsed="false">
      <c r="A7" s="176" t="s">
        <v>5191</v>
      </c>
      <c r="B7" s="176" t="s">
        <v>5192</v>
      </c>
    </row>
    <row r="8" customFormat="false" ht="11.25" hidden="false" customHeight="true" outlineLevel="0" collapsed="false">
      <c r="A8" s="176" t="s">
        <v>5193</v>
      </c>
      <c r="B8" s="176" t="s">
        <v>5194</v>
      </c>
    </row>
    <row r="9" customFormat="false" ht="11.25" hidden="false" customHeight="true" outlineLevel="0" collapsed="false">
      <c r="A9" s="176" t="s">
        <v>5195</v>
      </c>
      <c r="B9" s="176" t="s">
        <v>5196</v>
      </c>
    </row>
    <row r="10" customFormat="false" ht="11.25" hidden="false" customHeight="true" outlineLevel="0" collapsed="false">
      <c r="A10" s="176" t="s">
        <v>5197</v>
      </c>
      <c r="B10" s="176" t="s">
        <v>5198</v>
      </c>
    </row>
    <row r="11" customFormat="false" ht="11.25" hidden="false" customHeight="true" outlineLevel="0" collapsed="false">
      <c r="A11" s="176" t="s">
        <v>5199</v>
      </c>
      <c r="B11" s="176" t="s">
        <v>5200</v>
      </c>
    </row>
    <row r="12" customFormat="false" ht="11.25" hidden="false" customHeight="true" outlineLevel="0" collapsed="false">
      <c r="A12" s="176" t="s">
        <v>5201</v>
      </c>
      <c r="B12" s="176" t="s">
        <v>5202</v>
      </c>
    </row>
    <row r="13" customFormat="false" ht="11.25" hidden="false" customHeight="true" outlineLevel="0" collapsed="false">
      <c r="A13" s="176" t="s">
        <v>5203</v>
      </c>
      <c r="B13" s="176" t="s">
        <v>5204</v>
      </c>
    </row>
    <row r="14" customFormat="false" ht="11.25" hidden="false" customHeight="true" outlineLevel="0" collapsed="false">
      <c r="A14" s="176" t="s">
        <v>5205</v>
      </c>
      <c r="B14" s="176" t="s">
        <v>5206</v>
      </c>
    </row>
    <row r="15" customFormat="false" ht="11.25" hidden="false" customHeight="true" outlineLevel="0" collapsed="false">
      <c r="A15" s="176" t="s">
        <v>5207</v>
      </c>
      <c r="B15" s="176" t="s">
        <v>5208</v>
      </c>
    </row>
    <row r="16" customFormat="false" ht="11.25" hidden="false" customHeight="true" outlineLevel="0" collapsed="false">
      <c r="A16" s="176" t="s">
        <v>5209</v>
      </c>
      <c r="B16" s="176" t="s">
        <v>5210</v>
      </c>
    </row>
    <row r="17" customFormat="false" ht="11.25" hidden="false" customHeight="true" outlineLevel="0" collapsed="false">
      <c r="A17" s="176" t="s">
        <v>5211</v>
      </c>
      <c r="B17" s="176" t="s">
        <v>5212</v>
      </c>
    </row>
    <row r="18" customFormat="false" ht="11.25" hidden="false" customHeight="true" outlineLevel="0" collapsed="false">
      <c r="A18" s="176" t="s">
        <v>5213</v>
      </c>
      <c r="B18" s="176" t="s">
        <v>5214</v>
      </c>
    </row>
    <row r="19" customFormat="false" ht="11.25" hidden="false" customHeight="true" outlineLevel="0" collapsed="false">
      <c r="A19" s="176" t="s">
        <v>5215</v>
      </c>
      <c r="B19" s="176" t="s">
        <v>5216</v>
      </c>
    </row>
    <row r="20" customFormat="false" ht="11.25" hidden="false" customHeight="true" outlineLevel="0" collapsed="false">
      <c r="A20" s="176" t="s">
        <v>5217</v>
      </c>
      <c r="B20" s="176" t="s">
        <v>5218</v>
      </c>
    </row>
    <row r="21" customFormat="false" ht="11.25" hidden="false" customHeight="true" outlineLevel="0" collapsed="false">
      <c r="A21" s="176" t="s">
        <v>5219</v>
      </c>
      <c r="B21" s="176" t="s">
        <v>5220</v>
      </c>
    </row>
    <row r="22" customFormat="false" ht="11.25" hidden="false" customHeight="true" outlineLevel="0" collapsed="false">
      <c r="A22" s="176" t="s">
        <v>5221</v>
      </c>
      <c r="B22" s="176" t="s">
        <v>5222</v>
      </c>
    </row>
    <row r="23" customFormat="false" ht="11.25" hidden="false" customHeight="true" outlineLevel="0" collapsed="false">
      <c r="A23" s="176" t="s">
        <v>5223</v>
      </c>
      <c r="B23" s="176" t="s">
        <v>5224</v>
      </c>
    </row>
    <row r="24" customFormat="false" ht="11.25" hidden="false" customHeight="true" outlineLevel="0" collapsed="false">
      <c r="A24" s="176" t="s">
        <v>5225</v>
      </c>
      <c r="B24" s="176" t="s">
        <v>5226</v>
      </c>
    </row>
    <row r="25" customFormat="false" ht="11.25" hidden="false" customHeight="true" outlineLevel="0" collapsed="false">
      <c r="A25" s="176" t="s">
        <v>5227</v>
      </c>
      <c r="B25" s="176" t="s">
        <v>5228</v>
      </c>
    </row>
    <row r="26" customFormat="false" ht="11.25" hidden="false" customHeight="true" outlineLevel="0" collapsed="false">
      <c r="A26" s="176" t="s">
        <v>5229</v>
      </c>
      <c r="B26" s="176" t="s">
        <v>5230</v>
      </c>
    </row>
    <row r="27" customFormat="false" ht="11.25" hidden="false" customHeight="true" outlineLevel="0" collapsed="false">
      <c r="A27" s="176" t="s">
        <v>5231</v>
      </c>
      <c r="B27" s="176" t="s">
        <v>5232</v>
      </c>
    </row>
    <row r="28" customFormat="false" ht="11.25" hidden="false" customHeight="true" outlineLevel="0" collapsed="false">
      <c r="A28" s="176" t="s">
        <v>5233</v>
      </c>
      <c r="B28" s="176" t="s">
        <v>5234</v>
      </c>
    </row>
    <row r="29" customFormat="false" ht="11.25" hidden="false" customHeight="true" outlineLevel="0" collapsed="false">
      <c r="A29" s="176" t="s">
        <v>5235</v>
      </c>
      <c r="B29" s="176" t="s">
        <v>5236</v>
      </c>
    </row>
    <row r="30" customFormat="false" ht="11.25" hidden="false" customHeight="true" outlineLevel="0" collapsed="false">
      <c r="A30" s="176" t="s">
        <v>5237</v>
      </c>
      <c r="B30" s="176" t="s">
        <v>5238</v>
      </c>
    </row>
    <row r="31" customFormat="false" ht="11.25" hidden="false" customHeight="true" outlineLevel="0" collapsed="false">
      <c r="A31" s="176" t="s">
        <v>5239</v>
      </c>
      <c r="B31" s="176" t="s">
        <v>5240</v>
      </c>
    </row>
    <row r="32" customFormat="false" ht="11.25" hidden="false" customHeight="true" outlineLevel="0" collapsed="false">
      <c r="A32" s="176" t="s">
        <v>5241</v>
      </c>
      <c r="B32" s="176" t="s">
        <v>5242</v>
      </c>
    </row>
    <row r="33" customFormat="false" ht="11.25" hidden="false" customHeight="true" outlineLevel="0" collapsed="false">
      <c r="A33" s="176" t="s">
        <v>5243</v>
      </c>
      <c r="B33" s="176" t="s">
        <v>5244</v>
      </c>
    </row>
    <row r="34" customFormat="false" ht="11.25" hidden="false" customHeight="true" outlineLevel="0" collapsed="false">
      <c r="A34" s="176" t="s">
        <v>5245</v>
      </c>
      <c r="B34" s="176" t="s">
        <v>5246</v>
      </c>
    </row>
    <row r="35" customFormat="false" ht="11.25" hidden="false" customHeight="true" outlineLevel="0" collapsed="false">
      <c r="A35" s="176" t="s">
        <v>5247</v>
      </c>
      <c r="B35" s="176" t="s">
        <v>5248</v>
      </c>
    </row>
    <row r="36" customFormat="false" ht="11.25" hidden="false" customHeight="true" outlineLevel="0" collapsed="false">
      <c r="A36" s="176" t="s">
        <v>5249</v>
      </c>
      <c r="B36" s="176" t="s">
        <v>5250</v>
      </c>
    </row>
    <row r="37" customFormat="false" ht="11.25" hidden="false" customHeight="true" outlineLevel="0" collapsed="false">
      <c r="A37" s="176" t="s">
        <v>5251</v>
      </c>
      <c r="B37" s="176" t="s">
        <v>5252</v>
      </c>
    </row>
    <row r="38" customFormat="false" ht="11.25" hidden="false" customHeight="true" outlineLevel="0" collapsed="false">
      <c r="A38" s="176" t="s">
        <v>5253</v>
      </c>
      <c r="B38" s="176" t="s">
        <v>5254</v>
      </c>
    </row>
    <row r="39" customFormat="false" ht="11.25" hidden="false" customHeight="true" outlineLevel="0" collapsed="false">
      <c r="A39" s="176" t="s">
        <v>5255</v>
      </c>
      <c r="B39" s="176" t="s">
        <v>5256</v>
      </c>
    </row>
    <row r="40" customFormat="false" ht="11.25" hidden="false" customHeight="true" outlineLevel="0" collapsed="false">
      <c r="A40" s="176" t="s">
        <v>5257</v>
      </c>
      <c r="B40" s="176" t="s">
        <v>5258</v>
      </c>
    </row>
    <row r="41" customFormat="false" ht="11.25" hidden="false" customHeight="true" outlineLevel="0" collapsed="false">
      <c r="A41" s="176" t="s">
        <v>5259</v>
      </c>
      <c r="B41" s="176" t="s">
        <v>5260</v>
      </c>
    </row>
    <row r="42" customFormat="false" ht="11.25" hidden="false" customHeight="true" outlineLevel="0" collapsed="false">
      <c r="A42" s="176" t="s">
        <v>5261</v>
      </c>
      <c r="B42" s="176" t="s">
        <v>5262</v>
      </c>
    </row>
    <row r="43" customFormat="false" ht="11.25" hidden="false" customHeight="true" outlineLevel="0" collapsed="false">
      <c r="A43" s="176" t="s">
        <v>5263</v>
      </c>
      <c r="B43" s="176" t="s">
        <v>5264</v>
      </c>
    </row>
    <row r="44" customFormat="false" ht="11.25" hidden="false" customHeight="true" outlineLevel="0" collapsed="false">
      <c r="A44" s="176" t="s">
        <v>5265</v>
      </c>
      <c r="B44" s="176" t="s">
        <v>5266</v>
      </c>
    </row>
    <row r="45" customFormat="false" ht="11.25" hidden="false" customHeight="true" outlineLevel="0" collapsed="false">
      <c r="A45" s="176" t="s">
        <v>5267</v>
      </c>
      <c r="B45" s="176" t="s">
        <v>5268</v>
      </c>
    </row>
    <row r="46" customFormat="false" ht="11.25" hidden="false" customHeight="true" outlineLevel="0" collapsed="false">
      <c r="A46" s="176" t="s">
        <v>5269</v>
      </c>
      <c r="B46" s="176" t="s">
        <v>5270</v>
      </c>
    </row>
    <row r="47" customFormat="false" ht="11.25" hidden="false" customHeight="true" outlineLevel="0" collapsed="false">
      <c r="A47" s="176" t="s">
        <v>5271</v>
      </c>
      <c r="B47" s="176" t="s">
        <v>5272</v>
      </c>
    </row>
    <row r="48" customFormat="false" ht="11.25" hidden="false" customHeight="true" outlineLevel="0" collapsed="false">
      <c r="A48" s="176" t="s">
        <v>5273</v>
      </c>
      <c r="B48" s="176" t="s">
        <v>5274</v>
      </c>
    </row>
    <row r="49" customFormat="false" ht="11.25" hidden="false" customHeight="true" outlineLevel="0" collapsed="false">
      <c r="A49" s="176" t="s">
        <v>5275</v>
      </c>
      <c r="B49" s="176" t="s">
        <v>5276</v>
      </c>
    </row>
    <row r="50" customFormat="false" ht="11.25" hidden="false" customHeight="true" outlineLevel="0" collapsed="false">
      <c r="A50" s="176" t="s">
        <v>5277</v>
      </c>
      <c r="B50" s="176" t="s">
        <v>5278</v>
      </c>
    </row>
    <row r="51" customFormat="false" ht="11.25" hidden="false" customHeight="true" outlineLevel="0" collapsed="false">
      <c r="A51" s="176" t="s">
        <v>5279</v>
      </c>
      <c r="B51" s="176" t="s">
        <v>5280</v>
      </c>
    </row>
    <row r="52" customFormat="false" ht="11.25" hidden="false" customHeight="true" outlineLevel="0" collapsed="false">
      <c r="A52" s="176" t="s">
        <v>5281</v>
      </c>
      <c r="B52" s="176" t="s">
        <v>5282</v>
      </c>
    </row>
    <row r="53" customFormat="false" ht="11.25" hidden="false" customHeight="true" outlineLevel="0" collapsed="false">
      <c r="A53" s="176" t="s">
        <v>5283</v>
      </c>
      <c r="B53" s="176" t="s">
        <v>5284</v>
      </c>
    </row>
    <row r="54" customFormat="false" ht="11.25" hidden="false" customHeight="true" outlineLevel="0" collapsed="false">
      <c r="A54" s="176" t="s">
        <v>5285</v>
      </c>
      <c r="B54" s="176" t="s">
        <v>5286</v>
      </c>
    </row>
    <row r="55" customFormat="false" ht="11.25" hidden="false" customHeight="true" outlineLevel="0" collapsed="false">
      <c r="A55" s="176" t="s">
        <v>5287</v>
      </c>
      <c r="B55" s="176" t="s">
        <v>5288</v>
      </c>
    </row>
    <row r="56" customFormat="false" ht="11.25" hidden="false" customHeight="true" outlineLevel="0" collapsed="false">
      <c r="A56" s="176" t="s">
        <v>5289</v>
      </c>
      <c r="B56" s="176" t="s">
        <v>5290</v>
      </c>
    </row>
    <row r="57" customFormat="false" ht="11.25" hidden="false" customHeight="true" outlineLevel="0" collapsed="false">
      <c r="A57" s="176" t="s">
        <v>5291</v>
      </c>
      <c r="B57" s="176" t="s">
        <v>5292</v>
      </c>
    </row>
    <row r="58" customFormat="false" ht="11.25" hidden="false" customHeight="true" outlineLevel="0" collapsed="false">
      <c r="A58" s="176" t="s">
        <v>5293</v>
      </c>
      <c r="B58" s="176" t="s">
        <v>5294</v>
      </c>
    </row>
    <row r="59" customFormat="false" ht="11.25" hidden="false" customHeight="true" outlineLevel="0" collapsed="false">
      <c r="A59" s="176" t="s">
        <v>5295</v>
      </c>
      <c r="B59" s="176" t="s">
        <v>5296</v>
      </c>
    </row>
    <row r="60" customFormat="false" ht="11.25" hidden="false" customHeight="true" outlineLevel="0" collapsed="false">
      <c r="A60" s="176" t="s">
        <v>5297</v>
      </c>
      <c r="B60" s="176" t="s">
        <v>5298</v>
      </c>
    </row>
    <row r="61" customFormat="false" ht="11.25" hidden="false" customHeight="true" outlineLevel="0" collapsed="false">
      <c r="A61" s="176"/>
      <c r="B61" s="176" t="s">
        <v>5299</v>
      </c>
    </row>
    <row r="62" customFormat="false" ht="11.25" hidden="false" customHeight="true" outlineLevel="0" collapsed="false">
      <c r="A62" s="176"/>
      <c r="B62" s="176" t="s">
        <v>5300</v>
      </c>
    </row>
    <row r="63" customFormat="false" ht="11.25" hidden="false" customHeight="true" outlineLevel="0" collapsed="false">
      <c r="A63" s="176"/>
      <c r="B63" s="176" t="s">
        <v>5301</v>
      </c>
    </row>
    <row r="64" customFormat="false" ht="11.25" hidden="false" customHeight="true" outlineLevel="0" collapsed="false">
      <c r="A64" s="176"/>
      <c r="B64" s="176" t="s">
        <v>5302</v>
      </c>
    </row>
    <row r="65" customFormat="false" ht="11.25" hidden="false" customHeight="true" outlineLevel="0" collapsed="false">
      <c r="A65" s="176"/>
      <c r="B65" s="176" t="s">
        <v>5303</v>
      </c>
    </row>
    <row r="66" customFormat="false" ht="11.25" hidden="false" customHeight="true" outlineLevel="0" collapsed="false">
      <c r="A66" s="176"/>
      <c r="B66" s="176" t="s">
        <v>5304</v>
      </c>
    </row>
    <row r="67" customFormat="false" ht="11.25" hidden="false" customHeight="true" outlineLevel="0" collapsed="false">
      <c r="A67" s="176"/>
      <c r="B67" s="176" t="s">
        <v>5305</v>
      </c>
    </row>
    <row r="68" customFormat="false" ht="11.25" hidden="false" customHeight="true" outlineLevel="0" collapsed="false">
      <c r="A68" s="176"/>
      <c r="B68" s="176" t="s">
        <v>5306</v>
      </c>
    </row>
    <row r="69" customFormat="false" ht="11.25" hidden="false" customHeight="true" outlineLevel="0" collapsed="false">
      <c r="A69" s="176"/>
      <c r="B69" s="176" t="s">
        <v>5307</v>
      </c>
    </row>
    <row r="70" customFormat="false" ht="11.25" hidden="false" customHeight="true" outlineLevel="0" collapsed="false">
      <c r="A70" s="176"/>
      <c r="B70" s="176" t="s">
        <v>5308</v>
      </c>
    </row>
    <row r="71" customFormat="false" ht="11.25" hidden="false" customHeight="true" outlineLevel="0" collapsed="false">
      <c r="A71" s="176"/>
      <c r="B71" s="176"/>
    </row>
    <row r="72" customFormat="false" ht="11.25" hidden="false" customHeight="true" outlineLevel="0" collapsed="false">
      <c r="A72" s="176"/>
      <c r="B72" s="176"/>
    </row>
    <row r="73" customFormat="false" ht="11.25" hidden="false" customHeight="true" outlineLevel="0" collapsed="false">
      <c r="A73" s="176"/>
      <c r="B73" s="176"/>
    </row>
    <row r="74" customFormat="false" ht="11.25" hidden="false" customHeight="true" outlineLevel="0" collapsed="false">
      <c r="A74" s="176"/>
      <c r="B74" s="176"/>
    </row>
    <row r="75" customFormat="false" ht="11.25" hidden="false" customHeight="true" outlineLevel="0" collapsed="false">
      <c r="A75" s="176"/>
      <c r="B75" s="176"/>
    </row>
    <row r="76" customFormat="false" ht="11.25" hidden="false" customHeight="true" outlineLevel="0" collapsed="false">
      <c r="A76" s="176"/>
      <c r="B76" s="176"/>
    </row>
    <row r="77" customFormat="false" ht="11.25" hidden="false" customHeight="true" outlineLevel="0" collapsed="false">
      <c r="A77" s="176"/>
      <c r="B77" s="176"/>
    </row>
    <row r="78" customFormat="false" ht="11.25" hidden="false" customHeight="true" outlineLevel="0" collapsed="false">
      <c r="A78" s="176"/>
      <c r="B78" s="176"/>
    </row>
    <row r="79" customFormat="false" ht="11.25" hidden="false" customHeight="true" outlineLevel="0" collapsed="false">
      <c r="A79" s="176"/>
      <c r="B79" s="176"/>
    </row>
    <row r="80" customFormat="false" ht="11.25" hidden="false" customHeight="true" outlineLevel="0" collapsed="false">
      <c r="A80" s="176"/>
      <c r="B80" s="176"/>
    </row>
    <row r="81" customFormat="false" ht="11.25" hidden="false" customHeight="true" outlineLevel="0" collapsed="false">
      <c r="A81" s="176"/>
      <c r="B81" s="176"/>
    </row>
    <row r="82" customFormat="false" ht="11.25" hidden="false" customHeight="true" outlineLevel="0" collapsed="false">
      <c r="A82" s="176"/>
      <c r="B82" s="176"/>
    </row>
    <row r="83" customFormat="false" ht="11.25" hidden="false" customHeight="true" outlineLevel="0" collapsed="false">
      <c r="A83" s="176"/>
      <c r="B83" s="176"/>
    </row>
    <row r="84" customFormat="false" ht="11.25" hidden="false" customHeight="true" outlineLevel="0" collapsed="false">
      <c r="A84" s="176"/>
      <c r="B84" s="176"/>
    </row>
    <row r="85" customFormat="false" ht="11.25" hidden="false" customHeight="true" outlineLevel="0" collapsed="false">
      <c r="A85" s="176"/>
      <c r="B85" s="176"/>
    </row>
    <row r="86" customFormat="false" ht="11.25" hidden="false" customHeight="true" outlineLevel="0" collapsed="false">
      <c r="A86" s="176"/>
      <c r="B86" s="176"/>
    </row>
    <row r="87" customFormat="false" ht="11.25" hidden="false" customHeight="true" outlineLevel="0" collapsed="false">
      <c r="A87" s="176"/>
      <c r="B87" s="176"/>
    </row>
    <row r="88" customFormat="false" ht="11.25" hidden="false" customHeight="true" outlineLevel="0" collapsed="false">
      <c r="A88" s="176"/>
      <c r="B88" s="176"/>
    </row>
    <row r="89" customFormat="false" ht="11.25" hidden="false" customHeight="true" outlineLevel="0" collapsed="false">
      <c r="A89" s="176"/>
      <c r="B89" s="176"/>
    </row>
    <row r="90" customFormat="false" ht="11.25" hidden="false" customHeight="true" outlineLevel="0" collapsed="false">
      <c r="A90" s="176"/>
      <c r="B90" s="176"/>
    </row>
    <row r="91" customFormat="false" ht="11.25" hidden="false" customHeight="true" outlineLevel="0" collapsed="false">
      <c r="A91" s="176"/>
      <c r="B91" s="176"/>
    </row>
    <row r="92" customFormat="false" ht="11.25" hidden="false" customHeight="true" outlineLevel="0" collapsed="false">
      <c r="A92" s="176"/>
      <c r="B92" s="176"/>
    </row>
    <row r="93" customFormat="false" ht="11.25" hidden="false" customHeight="true" outlineLevel="0" collapsed="false">
      <c r="A93" s="176"/>
      <c r="B93" s="176"/>
    </row>
    <row r="94" customFormat="false" ht="11.25" hidden="false" customHeight="true" outlineLevel="0" collapsed="false">
      <c r="A94" s="176"/>
      <c r="B94" s="176"/>
    </row>
    <row r="95" customFormat="false" ht="11.25" hidden="false" customHeight="true" outlineLevel="0" collapsed="false">
      <c r="A95" s="176"/>
      <c r="B95" s="176"/>
    </row>
    <row r="96" customFormat="false" ht="11.25" hidden="false" customHeight="true" outlineLevel="0" collapsed="false">
      <c r="A96" s="176"/>
      <c r="B96" s="176"/>
    </row>
    <row r="97" customFormat="false" ht="11.25" hidden="false" customHeight="true" outlineLevel="0" collapsed="false">
      <c r="A97" s="176"/>
      <c r="B97" s="176"/>
    </row>
    <row r="98" customFormat="false" ht="11.25" hidden="false" customHeight="true" outlineLevel="0" collapsed="false">
      <c r="A98" s="176"/>
      <c r="B98" s="176"/>
    </row>
    <row r="99" customFormat="false" ht="11.25" hidden="false" customHeight="true" outlineLevel="0" collapsed="false">
      <c r="A99" s="176"/>
      <c r="B99" s="176"/>
    </row>
    <row r="100" customFormat="false" ht="11.25" hidden="false" customHeight="true" outlineLevel="0" collapsed="false">
      <c r="A100" s="176"/>
      <c r="B100" s="176"/>
    </row>
    <row r="101" customFormat="false" ht="11.25" hidden="false" customHeight="true" outlineLevel="0" collapsed="false">
      <c r="A101" s="176"/>
      <c r="B101" s="176"/>
    </row>
    <row r="102" customFormat="false" ht="11.25" hidden="false" customHeight="true" outlineLevel="0" collapsed="false">
      <c r="A102" s="176"/>
      <c r="B102" s="176"/>
    </row>
    <row r="103" customFormat="false" ht="11.25" hidden="false" customHeight="true" outlineLevel="0" collapsed="false">
      <c r="A103" s="176"/>
      <c r="B103" s="176"/>
    </row>
    <row r="104" customFormat="false" ht="11.25" hidden="false" customHeight="true" outlineLevel="0" collapsed="false">
      <c r="A104" s="176"/>
      <c r="B104" s="176"/>
    </row>
    <row r="105" customFormat="false" ht="11.25" hidden="false" customHeight="true" outlineLevel="0" collapsed="false">
      <c r="A105" s="176"/>
      <c r="B105" s="176"/>
    </row>
    <row r="106" customFormat="false" ht="11.25" hidden="false" customHeight="true" outlineLevel="0" collapsed="false">
      <c r="A106" s="176"/>
      <c r="B106" s="176"/>
    </row>
    <row r="107" customFormat="false" ht="11.25" hidden="false" customHeight="true" outlineLevel="0" collapsed="false">
      <c r="A107" s="176"/>
      <c r="B107" s="176"/>
    </row>
    <row r="108" customFormat="false" ht="11.25" hidden="false" customHeight="true" outlineLevel="0" collapsed="false">
      <c r="A108" s="176"/>
      <c r="B108" s="176"/>
    </row>
    <row r="109" customFormat="false" ht="11.25" hidden="false" customHeight="true" outlineLevel="0" collapsed="false">
      <c r="A109" s="176"/>
      <c r="B109" s="176"/>
    </row>
    <row r="110" customFormat="false" ht="11.25" hidden="false" customHeight="true" outlineLevel="0" collapsed="false">
      <c r="A110" s="176"/>
      <c r="B110" s="176"/>
    </row>
    <row r="111" customFormat="false" ht="11.25" hidden="false" customHeight="true" outlineLevel="0" collapsed="false">
      <c r="A111" s="176"/>
      <c r="B111" s="176"/>
    </row>
    <row r="112" customFormat="false" ht="11.25" hidden="false" customHeight="true" outlineLevel="0" collapsed="false">
      <c r="A112" s="176"/>
      <c r="B112" s="176"/>
    </row>
    <row r="113" customFormat="false" ht="11.25" hidden="false" customHeight="true" outlineLevel="0" collapsed="false">
      <c r="A113" s="176"/>
      <c r="B113" s="176"/>
    </row>
    <row r="114" customFormat="false" ht="11.25" hidden="false" customHeight="true" outlineLevel="0" collapsed="false">
      <c r="A114" s="176"/>
      <c r="B114" s="176"/>
    </row>
    <row r="115" customFormat="false" ht="11.25" hidden="false" customHeight="true" outlineLevel="0" collapsed="false">
      <c r="A115" s="176"/>
      <c r="B115" s="176"/>
    </row>
    <row r="116" customFormat="false" ht="11.25" hidden="false" customHeight="true" outlineLevel="0" collapsed="false">
      <c r="A116" s="176"/>
      <c r="B116" s="176"/>
    </row>
    <row r="117" customFormat="false" ht="11.25" hidden="false" customHeight="true" outlineLevel="0" collapsed="false">
      <c r="A117" s="176"/>
      <c r="B117" s="176"/>
    </row>
    <row r="118" customFormat="false" ht="11.25" hidden="false" customHeight="true" outlineLevel="0" collapsed="false">
      <c r="A118" s="176"/>
      <c r="B118" s="176"/>
    </row>
    <row r="119" customFormat="false" ht="11.25" hidden="false" customHeight="true" outlineLevel="0" collapsed="false">
      <c r="A119" s="176"/>
      <c r="B119" s="176"/>
    </row>
    <row r="120" customFormat="false" ht="11.25" hidden="false" customHeight="true" outlineLevel="0" collapsed="false">
      <c r="A120" s="176"/>
      <c r="B120" s="176"/>
    </row>
    <row r="121" customFormat="false" ht="11.25" hidden="false" customHeight="true" outlineLevel="0" collapsed="false">
      <c r="A121" s="176"/>
      <c r="B121" s="176"/>
    </row>
    <row r="122" customFormat="false" ht="11.25" hidden="false" customHeight="true" outlineLevel="0" collapsed="false">
      <c r="A122" s="176"/>
      <c r="B122" s="176"/>
    </row>
    <row r="123" customFormat="false" ht="11.25" hidden="false" customHeight="true" outlineLevel="0" collapsed="false">
      <c r="A123" s="176"/>
      <c r="B123" s="176"/>
    </row>
    <row r="124" customFormat="false" ht="11.25" hidden="false" customHeight="true" outlineLevel="0" collapsed="false">
      <c r="A124" s="176"/>
      <c r="B124" s="176"/>
    </row>
    <row r="125" customFormat="false" ht="11.25" hidden="false" customHeight="true" outlineLevel="0" collapsed="false">
      <c r="A125" s="176"/>
      <c r="B125" s="176"/>
    </row>
    <row r="126" customFormat="false" ht="11.25" hidden="false" customHeight="true" outlineLevel="0" collapsed="false">
      <c r="A126" s="176"/>
      <c r="B126" s="176"/>
    </row>
    <row r="127" customFormat="false" ht="11.25" hidden="false" customHeight="true" outlineLevel="0" collapsed="false">
      <c r="A127" s="176"/>
      <c r="B127" s="176"/>
    </row>
    <row r="128" customFormat="false" ht="11.25" hidden="false" customHeight="true" outlineLevel="0" collapsed="false">
      <c r="A128" s="176"/>
      <c r="B128" s="176"/>
    </row>
    <row r="129" customFormat="false" ht="11.25" hidden="false" customHeight="true" outlineLevel="0" collapsed="false">
      <c r="A129" s="176"/>
      <c r="B129" s="176"/>
    </row>
    <row r="130" customFormat="false" ht="11.25" hidden="false" customHeight="true" outlineLevel="0" collapsed="false">
      <c r="A130" s="176"/>
      <c r="B130" s="176"/>
    </row>
    <row r="131" customFormat="false" ht="11.25" hidden="false" customHeight="true" outlineLevel="0" collapsed="false">
      <c r="A131" s="176"/>
      <c r="B131" s="176"/>
    </row>
    <row r="132" customFormat="false" ht="11.25" hidden="false" customHeight="true" outlineLevel="0" collapsed="false">
      <c r="A132" s="176"/>
      <c r="B132" s="176"/>
    </row>
    <row r="133" customFormat="false" ht="11.25" hidden="false" customHeight="true" outlineLevel="0" collapsed="false">
      <c r="A133" s="176"/>
      <c r="B133" s="176"/>
    </row>
    <row r="134" customFormat="false" ht="11.25" hidden="false" customHeight="true" outlineLevel="0" collapsed="false">
      <c r="A134" s="176"/>
      <c r="B134" s="176"/>
    </row>
    <row r="135" customFormat="false" ht="11.25" hidden="false" customHeight="true" outlineLevel="0" collapsed="false">
      <c r="A135" s="176"/>
      <c r="B135" s="176"/>
    </row>
    <row r="136" customFormat="false" ht="11.25" hidden="false" customHeight="true" outlineLevel="0" collapsed="false">
      <c r="A136" s="176"/>
      <c r="B136" s="176"/>
    </row>
    <row r="137" customFormat="false" ht="11.25" hidden="false" customHeight="true" outlineLevel="0" collapsed="false">
      <c r="A137" s="176"/>
      <c r="B137" s="176"/>
    </row>
    <row r="138" customFormat="false" ht="11.25" hidden="false" customHeight="true" outlineLevel="0" collapsed="false">
      <c r="A138" s="176"/>
      <c r="B138" s="176"/>
    </row>
    <row r="139" customFormat="false" ht="11.25" hidden="false" customHeight="true" outlineLevel="0" collapsed="false">
      <c r="A139" s="176"/>
      <c r="B139" s="176"/>
    </row>
    <row r="140" customFormat="false" ht="11.25" hidden="false" customHeight="true" outlineLevel="0" collapsed="false">
      <c r="A140" s="176"/>
      <c r="B140" s="176"/>
    </row>
    <row r="141" customFormat="false" ht="11.25" hidden="false" customHeight="true" outlineLevel="0" collapsed="false">
      <c r="A141" s="176"/>
      <c r="B141" s="176"/>
    </row>
    <row r="142" customFormat="false" ht="11.25" hidden="false" customHeight="true" outlineLevel="0" collapsed="false">
      <c r="A142" s="176"/>
      <c r="B142" s="176"/>
    </row>
    <row r="143" customFormat="false" ht="11.25" hidden="false" customHeight="true" outlineLevel="0" collapsed="false">
      <c r="A143" s="176"/>
      <c r="B143" s="176"/>
    </row>
    <row r="144" customFormat="false" ht="11.25" hidden="false" customHeight="true" outlineLevel="0" collapsed="false">
      <c r="A144" s="176"/>
      <c r="B144" s="176"/>
    </row>
    <row r="145" customFormat="false" ht="11.25" hidden="false" customHeight="true" outlineLevel="0" collapsed="false">
      <c r="A145" s="176"/>
      <c r="B145" s="176"/>
    </row>
    <row r="146" customFormat="false" ht="11.25" hidden="false" customHeight="true" outlineLevel="0" collapsed="false">
      <c r="A146" s="176"/>
      <c r="B146" s="176"/>
    </row>
    <row r="147" customFormat="false" ht="11.25" hidden="false" customHeight="true" outlineLevel="0" collapsed="false">
      <c r="A147" s="176"/>
      <c r="B147" s="176"/>
    </row>
    <row r="148" customFormat="false" ht="11.25" hidden="false" customHeight="true" outlineLevel="0" collapsed="false">
      <c r="A148" s="176"/>
      <c r="B148" s="176"/>
    </row>
    <row r="149" customFormat="false" ht="11.25" hidden="false" customHeight="true" outlineLevel="0" collapsed="false">
      <c r="A149" s="176"/>
      <c r="B149" s="176"/>
    </row>
    <row r="150" customFormat="false" ht="11.25" hidden="false" customHeight="true" outlineLevel="0" collapsed="false">
      <c r="A150" s="176"/>
      <c r="B150" s="176"/>
    </row>
    <row r="151" customFormat="false" ht="11.25" hidden="false" customHeight="true" outlineLevel="0" collapsed="false">
      <c r="A151" s="176"/>
      <c r="B151" s="176"/>
    </row>
    <row r="152" customFormat="false" ht="11.25" hidden="false" customHeight="true" outlineLevel="0" collapsed="false">
      <c r="A152" s="176"/>
      <c r="B152" s="176"/>
    </row>
    <row r="153" customFormat="false" ht="11.25" hidden="false" customHeight="true" outlineLevel="0" collapsed="false">
      <c r="A153" s="176"/>
      <c r="B153" s="176"/>
    </row>
    <row r="154" customFormat="false" ht="11.25" hidden="false" customHeight="true" outlineLevel="0" collapsed="false">
      <c r="A154" s="176"/>
      <c r="B154" s="176"/>
    </row>
    <row r="155" customFormat="false" ht="11.25" hidden="false" customHeight="true" outlineLevel="0" collapsed="false">
      <c r="A155" s="176"/>
      <c r="B155" s="176"/>
    </row>
    <row r="156" customFormat="false" ht="11.25" hidden="false" customHeight="true" outlineLevel="0" collapsed="false">
      <c r="A156" s="176"/>
      <c r="B156" s="176"/>
    </row>
    <row r="157" customFormat="false" ht="11.25" hidden="false" customHeight="true" outlineLevel="0" collapsed="false">
      <c r="A157" s="176"/>
      <c r="B157" s="176"/>
    </row>
    <row r="158" customFormat="false" ht="11.25" hidden="false" customHeight="true" outlineLevel="0" collapsed="false">
      <c r="A158" s="176"/>
      <c r="B158" s="176"/>
    </row>
    <row r="159" customFormat="false" ht="11.25" hidden="false" customHeight="true" outlineLevel="0" collapsed="false">
      <c r="A159" s="176"/>
      <c r="B159" s="176"/>
    </row>
    <row r="160" customFormat="false" ht="11.25" hidden="false" customHeight="true" outlineLevel="0" collapsed="false">
      <c r="A160" s="176"/>
      <c r="B160" s="176"/>
    </row>
    <row r="161" customFormat="false" ht="11.25" hidden="false" customHeight="true" outlineLevel="0" collapsed="false">
      <c r="A161" s="176"/>
      <c r="B161" s="176"/>
    </row>
    <row r="162" customFormat="false" ht="11.25" hidden="false" customHeight="true" outlineLevel="0" collapsed="false">
      <c r="A162" s="176"/>
      <c r="B162" s="176"/>
    </row>
    <row r="163" customFormat="false" ht="11.25" hidden="false" customHeight="true" outlineLevel="0" collapsed="false">
      <c r="A163" s="176"/>
      <c r="B163" s="176"/>
    </row>
    <row r="164" customFormat="false" ht="11.25" hidden="false" customHeight="true" outlineLevel="0" collapsed="false">
      <c r="A164" s="176"/>
      <c r="B164" s="176"/>
    </row>
    <row r="165" customFormat="false" ht="11.25" hidden="false" customHeight="true" outlineLevel="0" collapsed="false">
      <c r="A165" s="176"/>
      <c r="B165" s="176"/>
    </row>
    <row r="166" customFormat="false" ht="11.25" hidden="false" customHeight="true" outlineLevel="0" collapsed="false">
      <c r="A166" s="176"/>
      <c r="B166" s="176"/>
    </row>
    <row r="167" customFormat="false" ht="11.25" hidden="false" customHeight="true" outlineLevel="0" collapsed="false">
      <c r="A167" s="176"/>
      <c r="B167" s="176"/>
    </row>
    <row r="168" customFormat="false" ht="11.25" hidden="false" customHeight="true" outlineLevel="0" collapsed="false">
      <c r="A168" s="176"/>
      <c r="B168" s="176"/>
    </row>
    <row r="169" customFormat="false" ht="11.25" hidden="false" customHeight="true" outlineLevel="0" collapsed="false">
      <c r="A169" s="176"/>
      <c r="B169" s="176"/>
    </row>
    <row r="170" customFormat="false" ht="11.25" hidden="false" customHeight="true" outlineLevel="0" collapsed="false">
      <c r="A170" s="176"/>
      <c r="B170" s="176"/>
    </row>
    <row r="171" customFormat="false" ht="11.25" hidden="false" customHeight="true" outlineLevel="0" collapsed="false">
      <c r="A171" s="176"/>
      <c r="B171" s="176"/>
    </row>
    <row r="172" customFormat="false" ht="11.25" hidden="false" customHeight="true" outlineLevel="0" collapsed="false">
      <c r="A172" s="176"/>
      <c r="B172" s="176"/>
    </row>
    <row r="173" customFormat="false" ht="11.25" hidden="false" customHeight="true" outlineLevel="0" collapsed="false">
      <c r="A173" s="176"/>
      <c r="B173" s="176"/>
    </row>
    <row r="174" customFormat="false" ht="11.25" hidden="false" customHeight="true" outlineLevel="0" collapsed="false">
      <c r="A174" s="176"/>
      <c r="B174" s="176"/>
    </row>
    <row r="175" customFormat="false" ht="11.25" hidden="false" customHeight="true" outlineLevel="0" collapsed="false">
      <c r="A175" s="176"/>
      <c r="B175" s="176"/>
    </row>
    <row r="176" customFormat="false" ht="11.25" hidden="false" customHeight="true" outlineLevel="0" collapsed="false">
      <c r="A176" s="176"/>
      <c r="B176" s="176"/>
    </row>
    <row r="177" customFormat="false" ht="11.25" hidden="false" customHeight="true" outlineLevel="0" collapsed="false">
      <c r="A177" s="176"/>
      <c r="B177" s="176"/>
    </row>
    <row r="178" customFormat="false" ht="11.25" hidden="false" customHeight="true" outlineLevel="0" collapsed="false">
      <c r="A178" s="176"/>
      <c r="B178" s="176"/>
    </row>
    <row r="179" customFormat="false" ht="11.25" hidden="false" customHeight="true" outlineLevel="0" collapsed="false">
      <c r="A179" s="176"/>
      <c r="B179" s="176"/>
    </row>
    <row r="180" customFormat="false" ht="11.25" hidden="false" customHeight="true" outlineLevel="0" collapsed="false">
      <c r="A180" s="176"/>
      <c r="B180" s="176"/>
    </row>
    <row r="181" customFormat="false" ht="11.25" hidden="false" customHeight="true" outlineLevel="0" collapsed="false">
      <c r="A181" s="176"/>
      <c r="B181" s="176"/>
    </row>
    <row r="182" customFormat="false" ht="11.25" hidden="false" customHeight="true" outlineLevel="0" collapsed="false">
      <c r="A182" s="176"/>
      <c r="B182" s="176"/>
    </row>
    <row r="183" customFormat="false" ht="11.25" hidden="false" customHeight="true" outlineLevel="0" collapsed="false">
      <c r="A183" s="176"/>
      <c r="B183" s="176"/>
    </row>
    <row r="184" customFormat="false" ht="11.25" hidden="false" customHeight="true" outlineLevel="0" collapsed="false">
      <c r="A184" s="176"/>
      <c r="B184" s="176"/>
    </row>
    <row r="185" customFormat="false" ht="11.25" hidden="false" customHeight="true" outlineLevel="0" collapsed="false">
      <c r="A185" s="176"/>
      <c r="B185" s="176"/>
    </row>
    <row r="186" customFormat="false" ht="11.25" hidden="false" customHeight="true" outlineLevel="0" collapsed="false">
      <c r="A186" s="176"/>
      <c r="B186" s="176"/>
    </row>
    <row r="187" customFormat="false" ht="11.25" hidden="false" customHeight="true" outlineLevel="0" collapsed="false">
      <c r="A187" s="176"/>
      <c r="B187" s="176"/>
    </row>
    <row r="188" customFormat="false" ht="11.25" hidden="false" customHeight="true" outlineLevel="0" collapsed="false">
      <c r="A188" s="176"/>
      <c r="B188" s="176"/>
    </row>
    <row r="189" customFormat="false" ht="11.25" hidden="false" customHeight="true" outlineLevel="0" collapsed="false">
      <c r="A189" s="176"/>
      <c r="B189" s="176"/>
    </row>
    <row r="190" customFormat="false" ht="11.25" hidden="false" customHeight="true" outlineLevel="0" collapsed="false">
      <c r="A190" s="176"/>
      <c r="B190" s="176"/>
    </row>
    <row r="191" customFormat="false" ht="11.25" hidden="false" customHeight="true" outlineLevel="0" collapsed="false">
      <c r="A191" s="176"/>
      <c r="B191" s="176"/>
    </row>
    <row r="192" customFormat="false" ht="11.25" hidden="false" customHeight="true" outlineLevel="0" collapsed="false">
      <c r="A192" s="176"/>
      <c r="B192" s="176"/>
    </row>
    <row r="193" customFormat="false" ht="11.25" hidden="false" customHeight="true" outlineLevel="0" collapsed="false">
      <c r="A193" s="176"/>
      <c r="B193" s="176"/>
    </row>
    <row r="194" customFormat="false" ht="11.25" hidden="false" customHeight="true" outlineLevel="0" collapsed="false">
      <c r="A194" s="176"/>
      <c r="B194" s="176"/>
    </row>
    <row r="195" customFormat="false" ht="11.25" hidden="false" customHeight="true" outlineLevel="0" collapsed="false">
      <c r="A195" s="176"/>
      <c r="B195" s="176"/>
    </row>
    <row r="196" customFormat="false" ht="11.25" hidden="false" customHeight="true" outlineLevel="0" collapsed="false">
      <c r="A196" s="176"/>
      <c r="B196" s="176"/>
    </row>
    <row r="197" customFormat="false" ht="11.25" hidden="false" customHeight="true" outlineLevel="0" collapsed="false">
      <c r="A197" s="176"/>
      <c r="B197" s="176"/>
    </row>
    <row r="198" customFormat="false" ht="11.25" hidden="false" customHeight="true" outlineLevel="0" collapsed="false">
      <c r="A198" s="176"/>
      <c r="B198" s="176"/>
    </row>
    <row r="199" customFormat="false" ht="11.25" hidden="false" customHeight="true" outlineLevel="0" collapsed="false">
      <c r="A199" s="176"/>
      <c r="B199" s="176"/>
    </row>
    <row r="200" customFormat="false" ht="11.25" hidden="false" customHeight="true" outlineLevel="0" collapsed="false">
      <c r="A200" s="176"/>
      <c r="B200" s="176"/>
    </row>
    <row r="201" customFormat="false" ht="11.25" hidden="false" customHeight="true" outlineLevel="0" collapsed="false">
      <c r="A201" s="176"/>
      <c r="B201" s="176"/>
    </row>
    <row r="202" customFormat="false" ht="11.25" hidden="false" customHeight="true" outlineLevel="0" collapsed="false">
      <c r="A202" s="176"/>
      <c r="B202" s="176"/>
    </row>
    <row r="203" customFormat="false" ht="11.25" hidden="false" customHeight="true" outlineLevel="0" collapsed="false">
      <c r="A203" s="176"/>
      <c r="B203" s="176"/>
    </row>
    <row r="204" customFormat="false" ht="11.25" hidden="false" customHeight="true" outlineLevel="0" collapsed="false">
      <c r="A204" s="176"/>
      <c r="B204" s="176"/>
    </row>
    <row r="205" customFormat="false" ht="11.25" hidden="false" customHeight="true" outlineLevel="0" collapsed="false">
      <c r="A205" s="176"/>
      <c r="B205" s="176"/>
    </row>
    <row r="206" customFormat="false" ht="11.25" hidden="false" customHeight="true" outlineLevel="0" collapsed="false">
      <c r="A206" s="176"/>
      <c r="B206" s="176"/>
    </row>
    <row r="207" customFormat="false" ht="11.25" hidden="false" customHeight="true" outlineLevel="0" collapsed="false">
      <c r="A207" s="176"/>
      <c r="B207" s="176"/>
    </row>
    <row r="208" customFormat="false" ht="11.25" hidden="false" customHeight="true" outlineLevel="0" collapsed="false">
      <c r="A208" s="176"/>
      <c r="B208" s="176"/>
    </row>
    <row r="209" customFormat="false" ht="11.25" hidden="false" customHeight="true" outlineLevel="0" collapsed="false">
      <c r="A209" s="176"/>
      <c r="B209" s="176"/>
    </row>
    <row r="210" customFormat="false" ht="11.25" hidden="false" customHeight="true" outlineLevel="0" collapsed="false">
      <c r="A210" s="176"/>
      <c r="B210" s="176"/>
    </row>
    <row r="211" customFormat="false" ht="11.25" hidden="false" customHeight="true" outlineLevel="0" collapsed="false">
      <c r="A211" s="176"/>
      <c r="B211" s="176"/>
    </row>
    <row r="212" customFormat="false" ht="11.25" hidden="false" customHeight="true" outlineLevel="0" collapsed="false">
      <c r="A212" s="176"/>
      <c r="B212" s="176"/>
    </row>
    <row r="213" customFormat="false" ht="11.25" hidden="false" customHeight="true" outlineLevel="0" collapsed="false">
      <c r="A213" s="176"/>
      <c r="B213" s="176"/>
    </row>
    <row r="214" customFormat="false" ht="11.25" hidden="false" customHeight="true" outlineLevel="0" collapsed="false">
      <c r="A214" s="176"/>
      <c r="B214" s="176"/>
    </row>
    <row r="215" customFormat="false" ht="11.25" hidden="false" customHeight="true" outlineLevel="0" collapsed="false">
      <c r="A215" s="176"/>
      <c r="B215" s="176"/>
    </row>
    <row r="216" customFormat="false" ht="11.25" hidden="false" customHeight="true" outlineLevel="0" collapsed="false">
      <c r="A216" s="176"/>
      <c r="B216" s="176"/>
    </row>
    <row r="217" customFormat="false" ht="11.25" hidden="false" customHeight="true" outlineLevel="0" collapsed="false">
      <c r="A217" s="176"/>
      <c r="B217" s="176"/>
    </row>
    <row r="218" customFormat="false" ht="11.25" hidden="false" customHeight="true" outlineLevel="0" collapsed="false">
      <c r="A218" s="176"/>
      <c r="B218" s="176"/>
    </row>
    <row r="219" customFormat="false" ht="11.25" hidden="false" customHeight="true" outlineLevel="0" collapsed="false">
      <c r="A219" s="176"/>
      <c r="B219" s="176"/>
    </row>
    <row r="220" customFormat="false" ht="11.25" hidden="false" customHeight="true" outlineLevel="0" collapsed="false">
      <c r="A220" s="176"/>
      <c r="B220" s="176"/>
    </row>
    <row r="221" customFormat="false" ht="11.25" hidden="false" customHeight="true" outlineLevel="0" collapsed="false">
      <c r="A221" s="176"/>
      <c r="B221" s="176"/>
    </row>
    <row r="222" customFormat="false" ht="11.25" hidden="false" customHeight="true" outlineLevel="0" collapsed="false">
      <c r="A222" s="176"/>
      <c r="B222" s="176"/>
    </row>
    <row r="223" customFormat="false" ht="11.25" hidden="false" customHeight="true" outlineLevel="0" collapsed="false">
      <c r="A223" s="176"/>
      <c r="B223" s="176"/>
    </row>
    <row r="224" customFormat="false" ht="11.25" hidden="false" customHeight="true" outlineLevel="0" collapsed="false">
      <c r="A224" s="176"/>
      <c r="B224" s="176"/>
    </row>
    <row r="225" customFormat="false" ht="11.25" hidden="false" customHeight="true" outlineLevel="0" collapsed="false">
      <c r="A225" s="176"/>
      <c r="B225" s="176"/>
    </row>
    <row r="226" customFormat="false" ht="11.25" hidden="false" customHeight="true" outlineLevel="0" collapsed="false">
      <c r="A226" s="176"/>
      <c r="B226" s="176"/>
    </row>
    <row r="227" customFormat="false" ht="11.25" hidden="false" customHeight="true" outlineLevel="0" collapsed="false">
      <c r="A227" s="176"/>
      <c r="B227" s="176"/>
    </row>
    <row r="228" customFormat="false" ht="11.25" hidden="false" customHeight="true" outlineLevel="0" collapsed="false">
      <c r="A228" s="176"/>
      <c r="B228" s="176"/>
    </row>
    <row r="229" customFormat="false" ht="11.25" hidden="false" customHeight="true" outlineLevel="0" collapsed="false">
      <c r="A229" s="176"/>
      <c r="B229" s="176"/>
    </row>
    <row r="230" customFormat="false" ht="11.25" hidden="false" customHeight="true" outlineLevel="0" collapsed="false">
      <c r="A230" s="176"/>
      <c r="B230" s="176"/>
    </row>
    <row r="231" customFormat="false" ht="11.25" hidden="false" customHeight="true" outlineLevel="0" collapsed="false">
      <c r="A231" s="176"/>
      <c r="B231" s="176"/>
    </row>
    <row r="232" customFormat="false" ht="11.25" hidden="false" customHeight="true" outlineLevel="0" collapsed="false">
      <c r="A232" s="176"/>
      <c r="B232" s="176"/>
    </row>
    <row r="233" customFormat="false" ht="11.25" hidden="false" customHeight="true" outlineLevel="0" collapsed="false">
      <c r="A233" s="176"/>
      <c r="B233" s="176"/>
    </row>
    <row r="234" customFormat="false" ht="11.25" hidden="false" customHeight="true" outlineLevel="0" collapsed="false">
      <c r="A234" s="176"/>
      <c r="B234" s="176"/>
    </row>
    <row r="235" customFormat="false" ht="11.25" hidden="false" customHeight="true" outlineLevel="0" collapsed="false">
      <c r="A235" s="176"/>
      <c r="B235" s="176"/>
    </row>
    <row r="236" customFormat="false" ht="11.25" hidden="false" customHeight="true" outlineLevel="0" collapsed="false">
      <c r="A236" s="176"/>
      <c r="B236" s="176"/>
    </row>
    <row r="237" customFormat="false" ht="11.25" hidden="false" customHeight="true" outlineLevel="0" collapsed="false">
      <c r="A237" s="176"/>
      <c r="B237" s="176"/>
    </row>
    <row r="238" customFormat="false" ht="11.25" hidden="false" customHeight="true" outlineLevel="0" collapsed="false">
      <c r="A238" s="176"/>
      <c r="B238" s="176"/>
    </row>
    <row r="239" customFormat="false" ht="11.25" hidden="false" customHeight="true" outlineLevel="0" collapsed="false">
      <c r="A239" s="176"/>
      <c r="B239" s="176"/>
    </row>
    <row r="240" customFormat="false" ht="11.25" hidden="false" customHeight="true" outlineLevel="0" collapsed="false">
      <c r="A240" s="176"/>
      <c r="B240" s="176"/>
    </row>
    <row r="241" customFormat="false" ht="11.25" hidden="false" customHeight="true" outlineLevel="0" collapsed="false">
      <c r="A241" s="176"/>
      <c r="B241" s="176"/>
    </row>
    <row r="242" customFormat="false" ht="11.25" hidden="false" customHeight="true" outlineLevel="0" collapsed="false">
      <c r="A242" s="176"/>
      <c r="B242" s="176"/>
    </row>
    <row r="243" customFormat="false" ht="11.25" hidden="false" customHeight="true" outlineLevel="0" collapsed="false">
      <c r="A243" s="176"/>
      <c r="B243" s="176"/>
    </row>
    <row r="244" customFormat="false" ht="11.25" hidden="false" customHeight="true" outlineLevel="0" collapsed="false">
      <c r="A244" s="176"/>
      <c r="B244" s="176"/>
    </row>
    <row r="245" customFormat="false" ht="11.25" hidden="false" customHeight="true" outlineLevel="0" collapsed="false">
      <c r="A245" s="176"/>
      <c r="B245" s="176"/>
    </row>
    <row r="246" customFormat="false" ht="11.25" hidden="false" customHeight="true" outlineLevel="0" collapsed="false">
      <c r="A246" s="176"/>
      <c r="B246" s="176"/>
    </row>
    <row r="247" customFormat="false" ht="11.25" hidden="false" customHeight="true" outlineLevel="0" collapsed="false">
      <c r="A247" s="176"/>
      <c r="B247" s="176"/>
    </row>
    <row r="248" customFormat="false" ht="11.25" hidden="false" customHeight="true" outlineLevel="0" collapsed="false">
      <c r="A248" s="176"/>
      <c r="B248" s="176"/>
    </row>
    <row r="249" customFormat="false" ht="11.25" hidden="false" customHeight="true" outlineLevel="0" collapsed="false">
      <c r="A249" s="176"/>
      <c r="B249" s="176"/>
    </row>
    <row r="250" customFormat="false" ht="11.25" hidden="false" customHeight="true" outlineLevel="0" collapsed="false">
      <c r="A250" s="176"/>
      <c r="B250" s="176"/>
    </row>
    <row r="251" customFormat="false" ht="11.25" hidden="false" customHeight="true" outlineLevel="0" collapsed="false">
      <c r="A251" s="176"/>
      <c r="B251" s="176"/>
    </row>
    <row r="252" customFormat="false" ht="11.25" hidden="false" customHeight="true" outlineLevel="0" collapsed="false">
      <c r="A252" s="176"/>
      <c r="B252" s="176"/>
    </row>
    <row r="253" customFormat="false" ht="11.25" hidden="false" customHeight="true" outlineLevel="0" collapsed="false">
      <c r="A253" s="176"/>
      <c r="B253" s="176"/>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D3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3.71"/>
    <col collapsed="false" customWidth="true" hidden="false" outlineLevel="0" max="2" min="2" style="55" width="90.71"/>
    <col collapsed="false" customWidth="false" hidden="false" outlineLevel="0" max="4" min="3" style="55" width="9.15"/>
  </cols>
  <sheetData>
    <row r="1" customFormat="false" ht="11.25" hidden="false" customHeight="true" outlineLevel="0" collapsed="false">
      <c r="B1" s="1277" t="s">
        <v>5309</v>
      </c>
    </row>
    <row r="2" customFormat="false" ht="90" hidden="false" customHeight="true" outlineLevel="0" collapsed="false">
      <c r="B2" s="1278" t="s">
        <v>5310</v>
      </c>
    </row>
    <row r="3" customFormat="false" ht="67.5" hidden="false" customHeight="true" outlineLevel="0" collapsed="false">
      <c r="B3" s="1278" t="s">
        <v>5311</v>
      </c>
    </row>
    <row r="4" customFormat="false" ht="33.75" hidden="false" customHeight="true" outlineLevel="0" collapsed="false">
      <c r="B4" s="1278" t="s">
        <v>5312</v>
      </c>
    </row>
    <row r="5" customFormat="false" ht="11.25" hidden="false" customHeight="true" outlineLevel="0" collapsed="false">
      <c r="B5" s="1278" t="s">
        <v>5313</v>
      </c>
    </row>
    <row r="6" customFormat="false" ht="22.5" hidden="false" customHeight="true" outlineLevel="0" collapsed="false">
      <c r="B6" s="1278" t="s">
        <v>5314</v>
      </c>
    </row>
    <row r="7" customFormat="false" ht="22.5" hidden="false" customHeight="true" outlineLevel="0" collapsed="false">
      <c r="B7" s="1278" t="s">
        <v>5315</v>
      </c>
    </row>
    <row r="8" customFormat="false" ht="22.5" hidden="false" customHeight="true" outlineLevel="0" collapsed="false">
      <c r="B8" s="1278" t="s">
        <v>5316</v>
      </c>
    </row>
    <row r="9" customFormat="false" ht="22.5" hidden="false" customHeight="true" outlineLevel="0" collapsed="false">
      <c r="B9" s="1278" t="s">
        <v>5317</v>
      </c>
    </row>
    <row r="10" customFormat="false" ht="56.25" hidden="false" customHeight="true" outlineLevel="0" collapsed="false">
      <c r="B10" s="1278" t="s">
        <v>5318</v>
      </c>
    </row>
    <row r="11" customFormat="false" ht="12.75" hidden="false" customHeight="true" outlineLevel="0" collapsed="false">
      <c r="B11" s="1279" t="s">
        <v>5319</v>
      </c>
    </row>
    <row r="12" customFormat="false" ht="11.25" hidden="false" customHeight="true" outlineLevel="0" collapsed="false">
      <c r="B12" s="1277" t="s">
        <v>5320</v>
      </c>
    </row>
    <row r="13" customFormat="false" ht="22.5" hidden="false" customHeight="true" outlineLevel="0" collapsed="false">
      <c r="B13" s="1278" t="s">
        <v>5321</v>
      </c>
    </row>
    <row r="14" customFormat="false" ht="67.5" hidden="false" customHeight="true" outlineLevel="0" collapsed="false">
      <c r="B14" s="1278" t="s">
        <v>5322</v>
      </c>
    </row>
    <row r="15" customFormat="false" ht="22.5" hidden="false" customHeight="true" outlineLevel="0" collapsed="false">
      <c r="B15" s="1278" t="s">
        <v>5323</v>
      </c>
    </row>
    <row r="16" customFormat="false" ht="11.25" hidden="false" customHeight="true" outlineLevel="0" collapsed="false">
      <c r="B16" s="1277" t="s">
        <v>5324</v>
      </c>
      <c r="D16" s="690"/>
    </row>
    <row r="17" customFormat="false" ht="33.75" hidden="false" customHeight="true" outlineLevel="0" collapsed="false">
      <c r="B17" s="1278" t="s">
        <v>5325</v>
      </c>
    </row>
    <row r="18" customFormat="false" ht="33.75" hidden="false" customHeight="true" outlineLevel="0" collapsed="false">
      <c r="B18" s="1278" t="s">
        <v>5326</v>
      </c>
    </row>
    <row r="19" customFormat="false" ht="11.25" hidden="false" customHeight="true" outlineLevel="0" collapsed="false">
      <c r="B19" s="1278" t="s">
        <v>5327</v>
      </c>
    </row>
    <row r="20" customFormat="false" ht="33.75" hidden="false" customHeight="true" outlineLevel="0" collapsed="false">
      <c r="B20" s="1278" t="s">
        <v>5328</v>
      </c>
    </row>
    <row r="21" customFormat="false" ht="11.25" hidden="false" customHeight="true" outlineLevel="0" collapsed="false">
      <c r="B21" s="1277" t="s">
        <v>5329</v>
      </c>
    </row>
    <row r="22" customFormat="false" ht="11.25" hidden="false" customHeight="true" outlineLevel="0" collapsed="false">
      <c r="B22" s="1278" t="s">
        <v>5330</v>
      </c>
    </row>
    <row r="24" customFormat="false" ht="22.5" hidden="false" customHeight="true" outlineLevel="0" collapsed="false">
      <c r="B24" s="1280" t="s">
        <v>5331</v>
      </c>
    </row>
    <row r="26" customFormat="false" ht="11.25" hidden="false" customHeight="true" outlineLevel="0" collapsed="false">
      <c r="B26" s="1277" t="s">
        <v>5332</v>
      </c>
    </row>
    <row r="27" customFormat="false" ht="22.5" hidden="false" customHeight="true" outlineLevel="0" collapsed="false">
      <c r="B27" s="370" t="s">
        <v>393</v>
      </c>
    </row>
    <row r="28" customFormat="false" ht="56.25" hidden="false" customHeight="true" outlineLevel="0" collapsed="false">
      <c r="B28" s="370" t="s">
        <v>5333</v>
      </c>
    </row>
    <row r="29" customFormat="false" ht="11.25" hidden="false" customHeight="true" outlineLevel="0" collapsed="false">
      <c r="B29" s="1281" t="s">
        <v>5334</v>
      </c>
    </row>
    <row r="30" customFormat="false" ht="22.5" hidden="false" customHeight="true" outlineLevel="0" collapsed="false">
      <c r="B30" s="370" t="s">
        <v>5335</v>
      </c>
    </row>
    <row r="32" customFormat="false" ht="11.25" hidden="false" customHeight="true" outlineLevel="0" collapsed="false">
      <c r="B32" s="1282" t="s">
        <v>5336</v>
      </c>
    </row>
    <row r="33" customFormat="false" ht="14.25" hidden="false" customHeight="true" outlineLevel="0" collapsed="false">
      <c r="A33" s="1283" t="n">
        <v>1</v>
      </c>
      <c r="B33" s="1284" t="s">
        <v>5337</v>
      </c>
    </row>
    <row r="34" customFormat="false" ht="14.25" hidden="false" customHeight="true" outlineLevel="0" collapsed="false">
      <c r="A34" s="1283" t="n">
        <v>2</v>
      </c>
      <c r="B34" s="1284" t="s">
        <v>5338</v>
      </c>
    </row>
    <row r="35" customFormat="false" ht="11.25" hidden="false" customHeight="true" outlineLevel="0" collapsed="false">
      <c r="B35" s="1282" t="s">
        <v>5339</v>
      </c>
    </row>
    <row r="36" customFormat="false" ht="11.25" hidden="false" customHeight="true" outlineLevel="0" collapsed="false">
      <c r="B36" s="1284" t="s">
        <v>5340</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V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21" width="3"/>
    <col collapsed="false" customWidth="true" hidden="false" outlineLevel="0" max="4" min="4" style="42" width="5"/>
    <col collapsed="false" customWidth="true" hidden="false" outlineLevel="0" max="5" min="5" style="42" width="38"/>
    <col collapsed="false" customWidth="true" hidden="false" outlineLevel="0" max="7" min="6" style="42" width="3"/>
    <col collapsed="false" customWidth="true" hidden="false" outlineLevel="0" max="8" min="8" style="42" width="38"/>
    <col collapsed="false" customWidth="true" hidden="false" outlineLevel="0" max="9" min="9" style="42" width="35"/>
    <col collapsed="false" customWidth="true" hidden="false" outlineLevel="0" max="10" min="10" style="42" width="103"/>
    <col collapsed="false" customWidth="true" hidden="false" outlineLevel="0" max="11" min="11" style="133" width="3"/>
    <col collapsed="false" customWidth="true" hidden="false" outlineLevel="0" max="14" min="12" style="49" width="10"/>
    <col collapsed="false" customWidth="true" hidden="false" outlineLevel="0" max="15" min="15" style="49" width="13"/>
    <col collapsed="false" customWidth="true" hidden="false" outlineLevel="0" max="16" min="16" style="49" width="15"/>
    <col collapsed="false" customWidth="true" hidden="false" outlineLevel="0" max="17" min="17" style="49" width="16"/>
    <col collapsed="false" customWidth="true" hidden="false" outlineLevel="0" max="21" min="18" style="49" width="10"/>
    <col collapsed="false" customWidth="false" hidden="true" outlineLevel="0" max="22" min="22" style="42" width="10.57"/>
  </cols>
  <sheetData>
    <row r="1" customFormat="false" ht="22.5" hidden="true" customHeight="true" outlineLevel="0" collapsed="false">
      <c r="E1" s="161"/>
      <c r="F1" s="161"/>
      <c r="G1" s="161"/>
      <c r="H1" s="107" t="s">
        <v>349</v>
      </c>
      <c r="I1" s="107"/>
      <c r="V1" s="42" t="s">
        <v>14</v>
      </c>
    </row>
    <row r="2" s="42" customFormat="true" ht="14.25" hidden="true" customHeight="true" outlineLevel="0" collapsed="false">
      <c r="C2" s="328"/>
      <c r="D2" s="385" t="s">
        <v>107</v>
      </c>
      <c r="E2" s="386"/>
      <c r="F2" s="387"/>
      <c r="G2" s="200" t="s">
        <v>107</v>
      </c>
      <c r="H2" s="332"/>
      <c r="I2" s="388"/>
      <c r="L2" s="49"/>
      <c r="M2" s="49"/>
      <c r="N2" s="49"/>
      <c r="O2" s="49" t="s">
        <v>379</v>
      </c>
      <c r="P2" s="49"/>
      <c r="Q2" s="49"/>
      <c r="R2" s="122" t="s">
        <v>378</v>
      </c>
      <c r="S2" s="122" t="s">
        <v>378</v>
      </c>
      <c r="T2" s="49"/>
      <c r="U2" s="49"/>
      <c r="V2" s="42" t="n">
        <v>0</v>
      </c>
    </row>
    <row r="3" s="42" customFormat="true" ht="14.25" hidden="true" customHeight="true" outlineLevel="0" collapsed="false">
      <c r="C3" s="328"/>
      <c r="D3" s="385"/>
      <c r="E3" s="386"/>
      <c r="F3" s="380"/>
      <c r="G3" s="381"/>
      <c r="H3" s="381" t="s">
        <v>380</v>
      </c>
      <c r="I3" s="382"/>
      <c r="L3" s="49"/>
      <c r="M3" s="49"/>
      <c r="N3" s="49"/>
      <c r="O3" s="49"/>
      <c r="P3" s="49"/>
      <c r="Q3" s="49"/>
      <c r="R3" s="122"/>
      <c r="S3" s="122"/>
      <c r="T3" s="49"/>
      <c r="U3" s="49"/>
      <c r="V3" s="42" t="n">
        <v>0</v>
      </c>
    </row>
    <row r="4" customFormat="false" ht="14.25" hidden="true" customHeight="true" outlineLevel="0" collapsed="false">
      <c r="V4" s="42" t="n">
        <v>0</v>
      </c>
    </row>
    <row r="5" s="62" customFormat="true" ht="5.25" hidden="false" customHeight="true" outlineLevel="0" collapsed="false">
      <c r="C5" s="350"/>
      <c r="D5" s="351"/>
      <c r="E5" s="351"/>
      <c r="F5" s="351"/>
      <c r="G5" s="351"/>
      <c r="H5" s="351" t="s">
        <v>353</v>
      </c>
      <c r="I5" s="351"/>
      <c r="J5" s="351"/>
      <c r="L5" s="49"/>
      <c r="M5" s="49"/>
      <c r="N5" s="49"/>
      <c r="O5" s="49"/>
      <c r="P5" s="49"/>
      <c r="Q5" s="49"/>
      <c r="R5" s="49"/>
      <c r="S5" s="49"/>
      <c r="T5" s="49"/>
      <c r="U5" s="49"/>
      <c r="V5" s="62" t="n">
        <v>5</v>
      </c>
    </row>
    <row r="6" customFormat="false" ht="29.25" hidden="false" customHeight="true" outlineLevel="0" collapsed="false">
      <c r="C6" s="328"/>
      <c r="D6" s="389" t="s">
        <v>381</v>
      </c>
      <c r="E6" s="389"/>
      <c r="F6" s="389"/>
      <c r="G6" s="389"/>
      <c r="H6" s="389"/>
      <c r="I6" s="389"/>
      <c r="J6" s="353"/>
      <c r="K6" s="216"/>
      <c r="V6" s="42" t="n">
        <v>28</v>
      </c>
    </row>
    <row r="7" customFormat="false" ht="18" hidden="false" customHeight="true" outlineLevel="0" collapsed="false">
      <c r="C7" s="328"/>
      <c r="D7" s="259" t="str">
        <f aca="false">IF(org=0,"Не определено",org)</f>
        <v>Филиал ПАО "ОГК-2" - Серовская ГРЭС, г. Серов</v>
      </c>
      <c r="E7" s="259"/>
      <c r="F7" s="259"/>
      <c r="G7" s="259"/>
      <c r="H7" s="259"/>
      <c r="I7" s="259"/>
      <c r="J7" s="353"/>
      <c r="K7" s="216"/>
      <c r="V7" s="42" t="n">
        <v>17</v>
      </c>
    </row>
    <row r="8" s="60" customFormat="true" ht="5.25" hidden="false" customHeight="true" outlineLevel="0" collapsed="false">
      <c r="A8" s="354"/>
      <c r="C8" s="355"/>
      <c r="D8" s="356"/>
      <c r="E8" s="356"/>
      <c r="F8" s="356"/>
      <c r="G8" s="356"/>
      <c r="H8" s="356"/>
      <c r="I8" s="356"/>
      <c r="J8" s="356"/>
      <c r="L8" s="49"/>
      <c r="M8" s="49"/>
      <c r="N8" s="49"/>
      <c r="O8" s="49"/>
      <c r="P8" s="49"/>
      <c r="Q8" s="49"/>
      <c r="R8" s="49"/>
      <c r="S8" s="49"/>
      <c r="T8" s="49"/>
      <c r="U8" s="49"/>
      <c r="V8" s="60" t="n">
        <v>5</v>
      </c>
    </row>
    <row r="9" s="60" customFormat="true" ht="5.25" hidden="false" customHeight="true" outlineLevel="0" collapsed="false">
      <c r="A9" s="354"/>
      <c r="C9" s="355"/>
      <c r="D9" s="356"/>
      <c r="E9" s="356"/>
      <c r="F9" s="356"/>
      <c r="G9" s="356"/>
      <c r="H9" s="356"/>
      <c r="I9" s="356"/>
      <c r="J9" s="356"/>
      <c r="L9" s="49"/>
      <c r="M9" s="49"/>
      <c r="N9" s="49"/>
      <c r="O9" s="49"/>
      <c r="P9" s="49"/>
      <c r="Q9" s="49"/>
      <c r="R9" s="49"/>
      <c r="S9" s="49"/>
      <c r="T9" s="49"/>
      <c r="U9" s="49"/>
      <c r="V9" s="60" t="n">
        <v>5</v>
      </c>
    </row>
    <row r="10" customFormat="false" ht="14.25" hidden="false" customHeight="true" outlineLevel="0" collapsed="false">
      <c r="C10" s="328"/>
      <c r="D10" s="360" t="s">
        <v>297</v>
      </c>
      <c r="E10" s="360"/>
      <c r="F10" s="360"/>
      <c r="G10" s="360"/>
      <c r="H10" s="360"/>
      <c r="I10" s="360"/>
      <c r="J10" s="220" t="s">
        <v>298</v>
      </c>
      <c r="V10" s="42" t="n">
        <v>14</v>
      </c>
    </row>
    <row r="11" customFormat="false" ht="27" hidden="false" customHeight="true" outlineLevel="0" collapsed="false">
      <c r="C11" s="328"/>
      <c r="D11" s="138" t="s">
        <v>86</v>
      </c>
      <c r="E11" s="358" t="s">
        <v>103</v>
      </c>
      <c r="F11" s="138" t="s">
        <v>86</v>
      </c>
      <c r="G11" s="138"/>
      <c r="H11" s="138" t="s">
        <v>382</v>
      </c>
      <c r="I11" s="138" t="s">
        <v>383</v>
      </c>
      <c r="J11" s="220"/>
      <c r="V11" s="42" t="n">
        <v>26</v>
      </c>
    </row>
    <row r="12" customFormat="false" ht="14.25" hidden="false" customHeight="true" outlineLevel="0" collapsed="false">
      <c r="C12" s="328"/>
      <c r="D12" s="138"/>
      <c r="E12" s="358"/>
      <c r="F12" s="138"/>
      <c r="G12" s="138"/>
      <c r="H12" s="138"/>
      <c r="I12" s="138"/>
      <c r="J12" s="220"/>
      <c r="V12" s="42" t="n">
        <v>14</v>
      </c>
    </row>
    <row r="13" s="124" customFormat="true" ht="11.25" hidden="true" customHeight="true" outlineLevel="0" collapsed="false">
      <c r="C13" s="367"/>
      <c r="D13" s="368" t="s">
        <v>373</v>
      </c>
      <c r="E13" s="368"/>
      <c r="F13" s="368"/>
      <c r="G13" s="368"/>
      <c r="H13" s="369"/>
      <c r="I13" s="369"/>
      <c r="J13" s="370"/>
      <c r="L13" s="49"/>
      <c r="M13" s="49"/>
      <c r="N13" s="49"/>
      <c r="O13" s="49"/>
      <c r="P13" s="49"/>
      <c r="Q13" s="49"/>
      <c r="R13" s="49"/>
      <c r="S13" s="49"/>
      <c r="T13" s="49"/>
      <c r="U13" s="49"/>
      <c r="V13" s="124" t="n">
        <v>0</v>
      </c>
    </row>
    <row r="14" customFormat="false" ht="14.25" hidden="false" customHeight="true" outlineLevel="0" collapsed="false">
      <c r="A14" s="42"/>
      <c r="C14" s="328"/>
      <c r="D14" s="385" t="s">
        <v>107</v>
      </c>
      <c r="E14" s="386"/>
      <c r="F14" s="387"/>
      <c r="G14" s="200" t="s">
        <v>107</v>
      </c>
      <c r="H14" s="332"/>
      <c r="I14" s="388"/>
      <c r="J14" s="390" t="s">
        <v>384</v>
      </c>
      <c r="K14" s="42"/>
      <c r="R14" s="122" t="s">
        <v>378</v>
      </c>
      <c r="S14" s="122" t="s">
        <v>378</v>
      </c>
      <c r="V14" s="42" t="n">
        <v>14</v>
      </c>
    </row>
    <row r="15" customFormat="false" ht="14.25" hidden="false" customHeight="true" outlineLevel="0" collapsed="false">
      <c r="A15" s="42"/>
      <c r="C15" s="328"/>
      <c r="D15" s="385"/>
      <c r="E15" s="386"/>
      <c r="F15" s="380"/>
      <c r="G15" s="381"/>
      <c r="H15" s="381" t="s">
        <v>380</v>
      </c>
      <c r="I15" s="382"/>
      <c r="J15" s="390"/>
      <c r="K15" s="42"/>
      <c r="R15" s="122"/>
      <c r="S15" s="122"/>
      <c r="V15" s="42" t="n">
        <v>14</v>
      </c>
    </row>
    <row r="16" customFormat="false" ht="14.25" hidden="false" customHeight="true" outlineLevel="0" collapsed="false">
      <c r="A16" s="42"/>
      <c r="C16" s="328"/>
      <c r="D16" s="380"/>
      <c r="E16" s="381" t="s">
        <v>120</v>
      </c>
      <c r="F16" s="382"/>
      <c r="G16" s="382"/>
      <c r="H16" s="383"/>
      <c r="I16" s="383"/>
      <c r="J16" s="390"/>
      <c r="K16" s="42"/>
      <c r="V16" s="42" t="n">
        <v>14</v>
      </c>
    </row>
    <row r="17" customFormat="false" ht="14.25" hidden="false" customHeight="true" outlineLevel="0" collapsed="false">
      <c r="K17" s="42"/>
      <c r="V17" s="42" t="n">
        <v>14</v>
      </c>
    </row>
    <row r="18" customFormat="false" ht="22.5" hidden="true" customHeight="true" outlineLevel="0" collapsed="false">
      <c r="A18" s="48" t="s">
        <v>80</v>
      </c>
      <c r="B18" s="42" t="n">
        <v>0</v>
      </c>
      <c r="C18" s="121" t="n">
        <v>3</v>
      </c>
      <c r="D18" s="42" t="n">
        <v>5</v>
      </c>
      <c r="E18" s="42" t="n">
        <v>38</v>
      </c>
      <c r="F18" s="42" t="n">
        <v>3</v>
      </c>
      <c r="G18" s="42" t="n">
        <v>3</v>
      </c>
      <c r="H18" s="42" t="n">
        <v>38</v>
      </c>
      <c r="I18" s="42" t="n">
        <v>35</v>
      </c>
      <c r="J18" s="42" t="n">
        <v>103</v>
      </c>
      <c r="K18" s="133" t="n">
        <v>3</v>
      </c>
      <c r="L18" s="49" t="n">
        <v>10</v>
      </c>
      <c r="M18" s="49" t="n">
        <v>10</v>
      </c>
      <c r="N18" s="49" t="n">
        <v>10</v>
      </c>
      <c r="O18" s="49" t="n">
        <v>13</v>
      </c>
      <c r="P18" s="49" t="n">
        <v>15</v>
      </c>
      <c r="Q18" s="49" t="n">
        <v>16</v>
      </c>
      <c r="R18" s="49" t="n">
        <v>10</v>
      </c>
      <c r="S18" s="49" t="n">
        <v>10</v>
      </c>
      <c r="T18" s="49" t="n">
        <v>10</v>
      </c>
      <c r="U18" s="49" t="n">
        <v>10</v>
      </c>
      <c r="V18" s="42" t="n">
        <v>23</v>
      </c>
    </row>
  </sheetData>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5">
    <dataValidation allowBlank="true" error="Допускается ввод не более 900 символов!" errorStyle="stop" errorTitle="Ошибка" operator="lessThanOrEqual" showDropDown="false" showErrorMessage="true" showInputMessage="true" sqref="H2 H14"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E13:G13"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3:I13"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E2 E14"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I2 I14" type="whole">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LibreOffice/7.6.7.2$Linux_X86_64 LibreOffice_project/60$Build-2</Application>
  <AppVersion>15.0000</AppVersion>
  <Company>ФАС России</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2004-05-21T07:18:45Z</dcterms:created>
  <dc:creator>--</dc:creator>
  <dc:description/>
  <dc:language>ru-RU</dc:language>
  <cp:lastModifiedBy>G S E</cp:lastModifiedBy>
  <cp:lastPrinted>2013-08-29T08:11:20Z</cp:lastPrinted>
  <dcterms:modified xsi:type="dcterms:W3CDTF">2024-07-23T15:15:47Z</dcterms:modified>
  <cp:revision>1</cp:revision>
  <dc:subject>Информация, подлежащая раскрытию организациями сферы теплоснабжения (цены и тарифы)</dc:subject>
  <dc:title>Информация, подлежащая раскрытию организациями сферы теплоснабжения (цены и тарифы)</dc:title>
</cp:coreProperties>
</file>

<file path=docProps/custom.xml><?xml version="1.0" encoding="utf-8"?>
<Properties xmlns="http://schemas.openxmlformats.org/officeDocument/2006/custom-properties" xmlns:vt="http://schemas.openxmlformats.org/officeDocument/2006/docPropsVTypes"/>
</file>